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rak\Downloads\"/>
    </mc:Choice>
  </mc:AlternateContent>
  <xr:revisionPtr revIDLastSave="0" documentId="13_ncr:1_{852C737B-0E35-426A-93BD-889787345112}" xr6:coauthVersionLast="47" xr6:coauthVersionMax="47" xr10:uidLastSave="{00000000-0000-0000-0000-000000000000}"/>
  <workbookProtection workbookAlgorithmName="SHA-512" workbookHashValue="CnAR6ioCzScGD/pvXZF85eDYsf1xZ9bIAu0V/3/2g1X3X5dwnZR+15TNW1T6R+f88R3ZNpmdNsMSYnxb4ZDgJw==" workbookSaltValue="O3iiLpQvPmZE+GlXvl+U2Q==" workbookSpinCount="100000" lockStructure="1"/>
  <bookViews>
    <workbookView xWindow="-108" yWindow="-108" windowWidth="41496" windowHeight="16776" activeTab="1" xr2:uid="{193EE025-E4F9-48B7-8CF5-36CD5A4BAE17}"/>
  </bookViews>
  <sheets>
    <sheet name="Procedures" sheetId="5" r:id="rId1"/>
    <sheet name="Summary" sheetId="3" r:id="rId2"/>
    <sheet name="Lookup" sheetId="4" state="hidden" r:id="rId3"/>
  </sheets>
  <definedNames>
    <definedName name="_xlnm._FilterDatabase" localSheetId="2" hidden="1">Lookup!$A$1:$T$53</definedName>
    <definedName name="_xlnm.Print_Area" localSheetId="0">Procedures!$A$3:$D$32</definedName>
    <definedName name="_xlnm.Print_Area" localSheetId="1">Summary!$A$1:$P$64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3" l="1"/>
  <c r="E44" i="3"/>
  <c r="J49" i="3"/>
  <c r="K49" i="3" s="1"/>
  <c r="M49" i="3" s="1"/>
  <c r="G49" i="3"/>
  <c r="N49" i="3" l="1"/>
  <c r="P49" i="3" s="1"/>
  <c r="A3" i="4"/>
  <c r="A4" i="4"/>
  <c r="A5" i="4"/>
  <c r="A6" i="4"/>
  <c r="A7" i="4"/>
  <c r="A8" i="4"/>
  <c r="A9" i="4"/>
  <c r="A10" i="4"/>
  <c r="A11" i="4"/>
  <c r="A12" i="4"/>
  <c r="A13" i="4"/>
  <c r="A14" i="4"/>
  <c r="A15" i="4"/>
  <c r="A16" i="4"/>
  <c r="A17" i="4"/>
  <c r="A53"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E53" i="4" l="1"/>
  <c r="A2" i="4"/>
  <c r="C4" i="3" s="1"/>
  <c r="A16" i="3"/>
  <c r="A17" i="3"/>
  <c r="A18" i="3"/>
  <c r="A19" i="3"/>
  <c r="A20" i="3"/>
  <c r="A21" i="3"/>
  <c r="A22" i="3"/>
  <c r="A23" i="3"/>
  <c r="A24" i="3"/>
  <c r="A25" i="3"/>
  <c r="A26" i="3"/>
  <c r="A27" i="3"/>
  <c r="A28" i="3"/>
  <c r="A29" i="3"/>
  <c r="L29" i="3" s="1"/>
  <c r="A30" i="3"/>
  <c r="L30" i="3" s="1"/>
  <c r="A31" i="3"/>
  <c r="L31" i="3" s="1"/>
  <c r="A32" i="3"/>
  <c r="A33" i="3"/>
  <c r="A34" i="3"/>
  <c r="L34" i="3" s="1"/>
  <c r="A35" i="3"/>
  <c r="L35" i="3" s="1"/>
  <c r="A36" i="3"/>
  <c r="L36" i="3" s="1"/>
  <c r="A37" i="3"/>
  <c r="L37" i="3" s="1"/>
  <c r="A38" i="3"/>
  <c r="L38" i="3" s="1"/>
  <c r="A15" i="3"/>
  <c r="E40" i="3"/>
  <c r="E41" i="3"/>
  <c r="E42" i="3"/>
  <c r="E45" i="3"/>
  <c r="E46" i="3"/>
  <c r="E47" i="3"/>
  <c r="A39" i="3"/>
  <c r="J33" i="3" l="1"/>
  <c r="L33" i="3"/>
  <c r="J25" i="3"/>
  <c r="J32" i="3"/>
  <c r="L32" i="3"/>
  <c r="J24" i="3"/>
  <c r="K24" i="3" s="1"/>
  <c r="C6" i="3"/>
  <c r="C3" i="3"/>
  <c r="C7" i="3"/>
  <c r="C5" i="3"/>
  <c r="C2" i="3"/>
  <c r="M36" i="3"/>
  <c r="J36" i="3"/>
  <c r="J28" i="3"/>
  <c r="K28" i="3" s="1"/>
  <c r="N29" i="3"/>
  <c r="J29" i="3"/>
  <c r="J35" i="3"/>
  <c r="J27" i="3"/>
  <c r="N37" i="3"/>
  <c r="J37" i="3"/>
  <c r="K34" i="3"/>
  <c r="J34" i="3"/>
  <c r="J26" i="3"/>
  <c r="K26" i="3" s="1"/>
  <c r="P31" i="3"/>
  <c r="J31" i="3"/>
  <c r="J23" i="3"/>
  <c r="K23" i="3" s="1"/>
  <c r="L23" i="3" s="1"/>
  <c r="O38" i="3"/>
  <c r="J38" i="3"/>
  <c r="O30" i="3"/>
  <c r="J30" i="3"/>
  <c r="G20" i="3"/>
  <c r="H19" i="3"/>
  <c r="H22" i="3"/>
  <c r="G17" i="3"/>
  <c r="G43" i="3" s="1"/>
  <c r="H15" i="3"/>
  <c r="P32" i="3"/>
  <c r="H20" i="3"/>
  <c r="O31" i="3"/>
  <c r="H37" i="3"/>
  <c r="N30" i="3"/>
  <c r="H29" i="3"/>
  <c r="M29" i="3"/>
  <c r="N38" i="3"/>
  <c r="M37" i="3"/>
  <c r="K27" i="3"/>
  <c r="O27" i="3" s="1"/>
  <c r="K35" i="3"/>
  <c r="H17" i="3"/>
  <c r="H43" i="3" s="1"/>
  <c r="G21" i="3"/>
  <c r="G37" i="3"/>
  <c r="G33" i="3"/>
  <c r="G29" i="3"/>
  <c r="G25" i="3"/>
  <c r="M38" i="3"/>
  <c r="K36" i="3"/>
  <c r="P33" i="3"/>
  <c r="O32" i="3"/>
  <c r="N31" i="3"/>
  <c r="M30" i="3"/>
  <c r="G18" i="3"/>
  <c r="H21" i="3"/>
  <c r="H36" i="3"/>
  <c r="H32" i="3"/>
  <c r="H28" i="3"/>
  <c r="H24" i="3"/>
  <c r="K37" i="3"/>
  <c r="P34" i="3"/>
  <c r="O33" i="3"/>
  <c r="N32" i="3"/>
  <c r="M31" i="3"/>
  <c r="K29" i="3"/>
  <c r="H33" i="3"/>
  <c r="G15" i="3"/>
  <c r="H18" i="3"/>
  <c r="J18" i="3" s="1"/>
  <c r="G36" i="3"/>
  <c r="G32" i="3"/>
  <c r="G28" i="3"/>
  <c r="G24" i="3"/>
  <c r="K38" i="3"/>
  <c r="P35" i="3"/>
  <c r="O34" i="3"/>
  <c r="N33" i="3"/>
  <c r="M32" i="3"/>
  <c r="K30" i="3"/>
  <c r="G22" i="3"/>
  <c r="H35" i="3"/>
  <c r="H31" i="3"/>
  <c r="H27" i="3"/>
  <c r="H23" i="3"/>
  <c r="P36" i="3"/>
  <c r="O35" i="3"/>
  <c r="N34" i="3"/>
  <c r="M33" i="3"/>
  <c r="K31" i="3"/>
  <c r="G16" i="3"/>
  <c r="G19" i="3"/>
  <c r="G35" i="3"/>
  <c r="G31" i="3"/>
  <c r="G27" i="3"/>
  <c r="G23" i="3"/>
  <c r="P37" i="3"/>
  <c r="O36" i="3"/>
  <c r="N35" i="3"/>
  <c r="M34" i="3"/>
  <c r="K32" i="3"/>
  <c r="P29" i="3"/>
  <c r="H25" i="3"/>
  <c r="H16" i="3"/>
  <c r="H38" i="3"/>
  <c r="H34" i="3"/>
  <c r="H30" i="3"/>
  <c r="H26" i="3"/>
  <c r="P38" i="3"/>
  <c r="O37" i="3"/>
  <c r="N36" i="3"/>
  <c r="M35" i="3"/>
  <c r="K33" i="3"/>
  <c r="P30" i="3"/>
  <c r="O29" i="3"/>
  <c r="K25" i="3"/>
  <c r="L25" i="3" s="1"/>
  <c r="G38" i="3"/>
  <c r="G34" i="3"/>
  <c r="G30" i="3"/>
  <c r="G26" i="3"/>
  <c r="O28" i="3" l="1"/>
  <c r="L28" i="3"/>
  <c r="M28" i="3" s="1"/>
  <c r="N28" i="3" s="1"/>
  <c r="L27" i="3"/>
  <c r="M27" i="3"/>
  <c r="N27" i="3" s="1"/>
  <c r="P27" i="3" s="1"/>
  <c r="O25" i="3"/>
  <c r="L26" i="3"/>
  <c r="M26" i="3" s="1"/>
  <c r="N26" i="3" s="1"/>
  <c r="O26" i="3"/>
  <c r="L24" i="3"/>
  <c r="M24" i="3" s="1"/>
  <c r="N24" i="3" s="1"/>
  <c r="O24" i="3"/>
  <c r="G46" i="3"/>
  <c r="J20" i="3"/>
  <c r="H46" i="3"/>
  <c r="M25" i="3"/>
  <c r="N25" i="3" s="1"/>
  <c r="P25" i="3" s="1"/>
  <c r="G44" i="3"/>
  <c r="J15" i="3"/>
  <c r="H44" i="3"/>
  <c r="G42" i="3"/>
  <c r="J19" i="3"/>
  <c r="H42" i="3"/>
  <c r="G40" i="3"/>
  <c r="G45" i="3"/>
  <c r="H40" i="3"/>
  <c r="O23" i="3"/>
  <c r="J17" i="3"/>
  <c r="J16" i="3"/>
  <c r="K16" i="3" s="1"/>
  <c r="L16" i="3" s="1"/>
  <c r="K18" i="3"/>
  <c r="L18" i="3" s="1"/>
  <c r="J22" i="3"/>
  <c r="K22" i="3" s="1"/>
  <c r="L22" i="3" s="1"/>
  <c r="J21" i="3"/>
  <c r="K21" i="3" s="1"/>
  <c r="L21" i="3" s="1"/>
  <c r="H47" i="3"/>
  <c r="G47" i="3"/>
  <c r="H45" i="3"/>
  <c r="M23" i="3"/>
  <c r="N23" i="3" s="1"/>
  <c r="G41" i="3"/>
  <c r="H41" i="3"/>
  <c r="P28" i="3" l="1"/>
  <c r="P26" i="3"/>
  <c r="J47" i="3"/>
  <c r="P24" i="3"/>
  <c r="J46" i="3"/>
  <c r="K17" i="3"/>
  <c r="J43" i="3"/>
  <c r="K15" i="3"/>
  <c r="K40" i="3" s="1"/>
  <c r="J44" i="3"/>
  <c r="J42" i="3"/>
  <c r="E53" i="3"/>
  <c r="K19" i="3"/>
  <c r="J40" i="3"/>
  <c r="H55" i="3"/>
  <c r="P23" i="3"/>
  <c r="K20" i="3"/>
  <c r="J45" i="3"/>
  <c r="O21" i="3"/>
  <c r="M21" i="3"/>
  <c r="N21" i="3" s="1"/>
  <c r="O16" i="3"/>
  <c r="M16" i="3"/>
  <c r="N16" i="3" s="1"/>
  <c r="O22" i="3"/>
  <c r="M22" i="3"/>
  <c r="N22" i="3" s="1"/>
  <c r="O18" i="3"/>
  <c r="M18" i="3"/>
  <c r="N18" i="3" s="1"/>
  <c r="J41" i="3"/>
  <c r="K47" i="3" l="1"/>
  <c r="L20" i="3"/>
  <c r="L46" i="3" s="1"/>
  <c r="K46" i="3"/>
  <c r="L17" i="3"/>
  <c r="K43" i="3"/>
  <c r="L15" i="3"/>
  <c r="K44" i="3"/>
  <c r="K42" i="3"/>
  <c r="L19" i="3"/>
  <c r="K45" i="3"/>
  <c r="O20" i="3"/>
  <c r="P18" i="3"/>
  <c r="P16" i="3"/>
  <c r="P22" i="3"/>
  <c r="P21" i="3"/>
  <c r="L40" i="3"/>
  <c r="K41" i="3"/>
  <c r="L47" i="3" l="1"/>
  <c r="O45" i="3"/>
  <c r="O46" i="3"/>
  <c r="L43" i="3"/>
  <c r="O17" i="3"/>
  <c r="O43" i="3" s="1"/>
  <c r="M17" i="3"/>
  <c r="L44" i="3"/>
  <c r="O15" i="3"/>
  <c r="M15" i="3"/>
  <c r="M40" i="3" s="1"/>
  <c r="L42" i="3"/>
  <c r="O19" i="3"/>
  <c r="O47" i="3" s="1"/>
  <c r="M19" i="3"/>
  <c r="L45" i="3"/>
  <c r="M20" i="3"/>
  <c r="M46" i="3" s="1"/>
  <c r="L41" i="3"/>
  <c r="M47" i="3" l="1"/>
  <c r="O41" i="3"/>
  <c r="O44" i="3"/>
  <c r="O40" i="3"/>
  <c r="N17" i="3"/>
  <c r="M43" i="3"/>
  <c r="N15" i="3"/>
  <c r="P15" i="3" s="1"/>
  <c r="M44" i="3"/>
  <c r="N44" i="3"/>
  <c r="N19" i="3"/>
  <c r="O42" i="3"/>
  <c r="M42" i="3"/>
  <c r="L55" i="3"/>
  <c r="N20" i="3"/>
  <c r="N46" i="3" s="1"/>
  <c r="M45" i="3"/>
  <c r="M41" i="3"/>
  <c r="N47" i="3" l="1"/>
  <c r="P19" i="3"/>
  <c r="P44" i="3"/>
  <c r="P40" i="3"/>
  <c r="N40" i="3"/>
  <c r="N43" i="3"/>
  <c r="P17" i="3"/>
  <c r="P43" i="3" s="1"/>
  <c r="O55" i="3"/>
  <c r="N42" i="3"/>
  <c r="P42" i="3"/>
  <c r="G53" i="3"/>
  <c r="M53" i="3"/>
  <c r="E50" i="3"/>
  <c r="G50" i="3" s="1"/>
  <c r="N45" i="3"/>
  <c r="P20" i="3"/>
  <c r="N41" i="3"/>
  <c r="P45" i="3" l="1"/>
  <c r="P46" i="3"/>
  <c r="P47" i="3"/>
  <c r="M50" i="3"/>
  <c r="J53" i="3"/>
  <c r="K53" i="3" s="1"/>
  <c r="N53" i="3"/>
  <c r="P53" i="3" s="1"/>
  <c r="J50" i="3"/>
  <c r="P41" i="3"/>
  <c r="E52" i="3" l="1"/>
  <c r="G52" i="3" s="1"/>
  <c r="J52" i="3" s="1"/>
  <c r="K52" i="3" s="1"/>
  <c r="N50" i="3"/>
  <c r="P50" i="3" s="1"/>
  <c r="K50" i="3"/>
  <c r="M52" i="3" l="1"/>
  <c r="N52" i="3" s="1"/>
  <c r="P52" i="3" s="1"/>
  <c r="E51" i="3" l="1"/>
  <c r="G51" i="3" s="1"/>
  <c r="J51" i="3" s="1"/>
  <c r="K51" i="3" s="1"/>
  <c r="K55" i="3" s="1"/>
  <c r="E55" i="3" l="1"/>
  <c r="J55" i="3"/>
  <c r="M51" i="3"/>
  <c r="N51" i="3" s="1"/>
  <c r="P51" i="3" s="1"/>
  <c r="P55" i="3" s="1"/>
  <c r="G55" i="3"/>
  <c r="M55" i="3" l="1"/>
  <c r="N55" i="3"/>
</calcChain>
</file>

<file path=xl/sharedStrings.xml><?xml version="1.0" encoding="utf-8"?>
<sst xmlns="http://schemas.openxmlformats.org/spreadsheetml/2006/main" count="300" uniqueCount="224">
  <si>
    <t>QTY</t>
  </si>
  <si>
    <t>SURFACING</t>
  </si>
  <si>
    <t>SITE WORK</t>
  </si>
  <si>
    <t>INSTALLATION</t>
  </si>
  <si>
    <t>FEE ADD</t>
  </si>
  <si>
    <t>CUST NET W FEE ADD</t>
  </si>
  <si>
    <t>Surcharge</t>
  </si>
  <si>
    <t>CONCAT</t>
  </si>
  <si>
    <t>SCHOOL Y/N</t>
  </si>
  <si>
    <t>STATE</t>
  </si>
  <si>
    <t>FEE TO STATE</t>
  </si>
  <si>
    <t>CUST FEE LINE</t>
  </si>
  <si>
    <t>CUST FEE ADD</t>
  </si>
  <si>
    <t>BOND</t>
  </si>
  <si>
    <t>EQUIP TAX</t>
  </si>
  <si>
    <t>SERVICE TAX</t>
  </si>
  <si>
    <t>Y</t>
  </si>
  <si>
    <t>IN</t>
  </si>
  <si>
    <t>N</t>
  </si>
  <si>
    <t>OH</t>
  </si>
  <si>
    <t>PA</t>
  </si>
  <si>
    <t>WY</t>
  </si>
  <si>
    <t>ADMIN FEE</t>
  </si>
  <si>
    <t>PREVAILING WAGE</t>
  </si>
  <si>
    <t>PROJECT NAME</t>
  </si>
  <si>
    <t>DATE</t>
  </si>
  <si>
    <t>BILL TO</t>
  </si>
  <si>
    <t>CONTRACT</t>
  </si>
  <si>
    <t>CPN</t>
  </si>
  <si>
    <t>PC QUOTE #</t>
  </si>
  <si>
    <t>DIST. ABB.</t>
  </si>
  <si>
    <t>ITEM TYPE</t>
  </si>
  <si>
    <t>ITEM #/ DESCRIPTION</t>
  </si>
  <si>
    <t>DISCOUNT
(PD ITEMS)</t>
  </si>
  <si>
    <t>REP SURCHARGE</t>
  </si>
  <si>
    <t>REP
RETAIL</t>
  </si>
  <si>
    <t>REP
NET</t>
  </si>
  <si>
    <t>REP MARKUP
(3RD PTY/SVC)</t>
  </si>
  <si>
    <t>END CUST
RETAIL</t>
  </si>
  <si>
    <t>END CUST
NET</t>
  </si>
  <si>
    <t>REP NET PRE-ADMIN</t>
  </si>
  <si>
    <t>REP NET
POST-ADMIN</t>
  </si>
  <si>
    <t>FREIGHT</t>
  </si>
  <si>
    <t>END CUST FEE</t>
  </si>
  <si>
    <t>TOTAL</t>
  </si>
  <si>
    <t>CA</t>
  </si>
  <si>
    <t>CO</t>
  </si>
  <si>
    <t>CT</t>
  </si>
  <si>
    <t>FL</t>
  </si>
  <si>
    <t>GA</t>
  </si>
  <si>
    <t>IA</t>
  </si>
  <si>
    <t>KS</t>
  </si>
  <si>
    <t>MI</t>
  </si>
  <si>
    <t>MT</t>
  </si>
  <si>
    <t>NE</t>
  </si>
  <si>
    <t>NM</t>
  </si>
  <si>
    <t>ND</t>
  </si>
  <si>
    <t>TX</t>
  </si>
  <si>
    <t>WV</t>
  </si>
  <si>
    <t>WI</t>
  </si>
  <si>
    <t>PAGES</t>
  </si>
  <si>
    <t>18-20</t>
  </si>
  <si>
    <t>3-6</t>
  </si>
  <si>
    <t>8-9</t>
  </si>
  <si>
    <t>10-11</t>
  </si>
  <si>
    <t>12-13</t>
  </si>
  <si>
    <t>93-94</t>
  </si>
  <si>
    <t>27-28</t>
  </si>
  <si>
    <t>33-34</t>
  </si>
  <si>
    <t>35-37</t>
  </si>
  <si>
    <t>45-54</t>
  </si>
  <si>
    <t>55-57</t>
  </si>
  <si>
    <t>74-76</t>
  </si>
  <si>
    <t>89-91</t>
  </si>
  <si>
    <t>APS</t>
  </si>
  <si>
    <t>ARC</t>
  </si>
  <si>
    <t>CRG</t>
  </si>
  <si>
    <t>FPA</t>
  </si>
  <si>
    <t>GSR</t>
  </si>
  <si>
    <t>LDR</t>
  </si>
  <si>
    <t>MSE</t>
  </si>
  <si>
    <t>MTP</t>
  </si>
  <si>
    <t>PAC</t>
  </si>
  <si>
    <t>PCD</t>
  </si>
  <si>
    <t>PEI</t>
  </si>
  <si>
    <t>PPT</t>
  </si>
  <si>
    <t>PWG</t>
  </si>
  <si>
    <t>RVR</t>
  </si>
  <si>
    <t>SFP</t>
  </si>
  <si>
    <t>SSL</t>
  </si>
  <si>
    <t>SSR</t>
  </si>
  <si>
    <t>SWD</t>
  </si>
  <si>
    <t>ZCY</t>
  </si>
  <si>
    <t>REP LIST</t>
  </si>
  <si>
    <t>AEPA</t>
  </si>
  <si>
    <t>OMNIA</t>
  </si>
  <si>
    <t>GSA</t>
  </si>
  <si>
    <t>CONTRACT FEE</t>
  </si>
  <si>
    <t>AL</t>
  </si>
  <si>
    <t>AK</t>
  </si>
  <si>
    <t>AZ</t>
  </si>
  <si>
    <t>AR</t>
  </si>
  <si>
    <t>DE</t>
  </si>
  <si>
    <t>DC</t>
  </si>
  <si>
    <t>HI</t>
  </si>
  <si>
    <t>ID</t>
  </si>
  <si>
    <t>IL</t>
  </si>
  <si>
    <t>KY</t>
  </si>
  <si>
    <t>LA</t>
  </si>
  <si>
    <t>ME</t>
  </si>
  <si>
    <t>MD</t>
  </si>
  <si>
    <t>MA</t>
  </si>
  <si>
    <t>MN</t>
  </si>
  <si>
    <t>MS</t>
  </si>
  <si>
    <t>MO</t>
  </si>
  <si>
    <t>NV</t>
  </si>
  <si>
    <t>NH</t>
  </si>
  <si>
    <t>NJ</t>
  </si>
  <si>
    <t>NY</t>
  </si>
  <si>
    <t>NC</t>
  </si>
  <si>
    <t>OK</t>
  </si>
  <si>
    <t>OR</t>
  </si>
  <si>
    <t>RI</t>
  </si>
  <si>
    <t>SC</t>
  </si>
  <si>
    <t>SD</t>
  </si>
  <si>
    <t>TN</t>
  </si>
  <si>
    <t>UT</t>
  </si>
  <si>
    <t>VT</t>
  </si>
  <si>
    <t>VA</t>
  </si>
  <si>
    <t>WA</t>
  </si>
  <si>
    <t>INSTALL LOCATION</t>
  </si>
  <si>
    <t xml:space="preserve"> </t>
  </si>
  <si>
    <t>COMMENT</t>
  </si>
  <si>
    <t>68-72</t>
  </si>
  <si>
    <t>58-60</t>
  </si>
  <si>
    <t>SUBTOTAL</t>
  </si>
  <si>
    <r>
      <t>BOND</t>
    </r>
    <r>
      <rPr>
        <i/>
        <sz val="11"/>
        <color rgb="FFFF0000"/>
        <rFont val="Calibri"/>
        <family val="2"/>
        <scheme val="minor"/>
      </rPr>
      <t xml:space="preserve"> - input 1 to add-&gt;</t>
    </r>
  </si>
  <si>
    <t>SIGNATURE - PLAYCRAFT</t>
  </si>
  <si>
    <t>SIGNATURE - CONSULTANT</t>
  </si>
  <si>
    <t>PRINTED NAME - PLAYCRAFT</t>
  </si>
  <si>
    <t>KYLE FAULEY</t>
  </si>
  <si>
    <t>PRINTED NAME - CONSULTANT</t>
  </si>
  <si>
    <t>*CONSULTANTS BEAR RESPONSIBILITY FOR COMPLIANCE WITH STATE-SPECIFIC PREVAILING WAGE REQUIREMENTS, EMPLOYEE BACKGROUND CHECKS, AND COLLECTION &amp; PAYMENT OF APPLICABLE STATE TAXES*</t>
  </si>
  <si>
    <t>*PLAYCRAFT HAS ATTEMPTED TO IDENTIFY STATES WHICH HAVE EXPLICITLY INDICATED BOND REQUIREMENTS IN RELATED CONTRACTS - CONSULTANTS MUST REVIEW REQUIREMENTS AND ADD NECESSARY BONDING AS REQUIRED*</t>
  </si>
  <si>
    <t>California</t>
  </si>
  <si>
    <t>Colorado</t>
  </si>
  <si>
    <t>Connecticut</t>
  </si>
  <si>
    <t>Florida</t>
  </si>
  <si>
    <t>Georgia</t>
  </si>
  <si>
    <t>Iowa</t>
  </si>
  <si>
    <t>Indiana</t>
  </si>
  <si>
    <t>Kansas</t>
  </si>
  <si>
    <t>Michigan</t>
  </si>
  <si>
    <t>Montana</t>
  </si>
  <si>
    <t>North Dakota</t>
  </si>
  <si>
    <t>Nebraska</t>
  </si>
  <si>
    <t>New Mexico</t>
  </si>
  <si>
    <t>Ohio</t>
  </si>
  <si>
    <t>Pennsylvania</t>
  </si>
  <si>
    <t>Texas</t>
  </si>
  <si>
    <t>Wisconsin</t>
  </si>
  <si>
    <t>West Virginia</t>
  </si>
  <si>
    <t>Wyoming</t>
  </si>
  <si>
    <r>
      <t>FREIGHT</t>
    </r>
    <r>
      <rPr>
        <i/>
        <sz val="11"/>
        <color rgb="FFFF0000"/>
        <rFont val="Calibri"/>
        <family val="2"/>
        <scheme val="minor"/>
      </rPr>
      <t xml:space="preserve"> - input Playcraft quote in retail column-----&gt;</t>
    </r>
  </si>
  <si>
    <r>
      <t>SALES TAX</t>
    </r>
    <r>
      <rPr>
        <i/>
        <sz val="11"/>
        <color rgb="FFFF0000"/>
        <rFont val="Calibri"/>
        <family val="2"/>
        <scheme val="minor"/>
      </rPr>
      <t xml:space="preserve"> - est rate---&gt;</t>
    </r>
  </si>
  <si>
    <r>
      <t>USE TAX</t>
    </r>
    <r>
      <rPr>
        <i/>
        <sz val="11"/>
        <color rgb="FFFF0000"/>
        <rFont val="Calibri"/>
        <family val="2"/>
        <scheme val="minor"/>
      </rPr>
      <t xml:space="preserve"> - est rate-----&gt;</t>
    </r>
  </si>
  <si>
    <t>If Playcraft will be billing the job on your behalf, this potentially changed the basis upon which certain taxes are applied, so please let us know if we will be billing the job on your behalf.</t>
  </si>
  <si>
    <t>*Please note install and other services are often governed by prevailing wage and other requirements as dictated by the applicable contract and/or state law. Please confirm your pricing conforms with these requirements.*</t>
  </si>
  <si>
    <t>Freight - The AEPA contract mandates that freight be billed to the end customer at cost, so please input the freight price that was quoted by Playcraft for the job.</t>
  </si>
  <si>
    <t>The template assumes sales tax will be applied to the full sales price of equipment, including freight - please check and adjust the formula in column E to confirm it aligns with the requirements of the jurisdiction in question.</t>
  </si>
  <si>
    <t>Higher fee percentages for certain states.</t>
  </si>
  <si>
    <t>Fees which are calculate on line items as well as freight.</t>
  </si>
  <si>
    <t>Participating AEPA States - Currently Playcraft has only received signed AEPA agreements from the states listed below. If you are trying to bid an AEPA job for a state not on this list, please contact Playcraft so we can determine state eligibility and provide an updated template if necessary.</t>
  </si>
  <si>
    <t>1.</t>
  </si>
  <si>
    <t/>
  </si>
  <si>
    <t>2.</t>
  </si>
  <si>
    <t>a.</t>
  </si>
  <si>
    <t>3.</t>
  </si>
  <si>
    <t>4.</t>
  </si>
  <si>
    <t>5.</t>
  </si>
  <si>
    <t>6.</t>
  </si>
  <si>
    <t>b.</t>
  </si>
  <si>
    <t>c.</t>
  </si>
  <si>
    <t>d.</t>
  </si>
  <si>
    <t>7.</t>
  </si>
  <si>
    <t>e.</t>
  </si>
  <si>
    <t>8.</t>
  </si>
  <si>
    <t>Procedures - PCS National Contract Template</t>
  </si>
  <si>
    <t>The template assumes use tax will be applied to the consultant cost of equipment and site work/installation services - please check and adjust the formula in column E to confirm it aligns with the requirements of the jurisdiction in question.</t>
  </si>
  <si>
    <t>Project/customer info - Please complete project names and addresses as completely as possible - install address especially has important tax and contract implications.</t>
  </si>
  <si>
    <t>Project line items - Populate each line beginning in the  far left column - using the correct item type is key to generating the correct calculations and indicating any required fields for that type.</t>
  </si>
  <si>
    <r>
      <t xml:space="preserve">Types THIRD PARTY, SURFACING, SITE WORK, &amp; INSTALLATION - Populate </t>
    </r>
    <r>
      <rPr>
        <i/>
        <sz val="11"/>
        <color theme="1"/>
        <rFont val="Calibri"/>
        <family val="2"/>
        <scheme val="minor"/>
      </rPr>
      <t>your</t>
    </r>
    <r>
      <rPr>
        <sz val="11"/>
        <color theme="1"/>
        <rFont val="Calibri"/>
        <family val="2"/>
        <scheme val="minor"/>
      </rPr>
      <t xml:space="preserve"> cost in the 'REP RETAIL' column and your markup percentage in the 'REP MARKUP' column - this will calculate the retail and net prices to be quoted.</t>
    </r>
  </si>
  <si>
    <t>Surcharge - Most national procurement contracts the prohibit the application of surcharge; as such the template builds the surcharge into item line prices. Do not add a surcharge line to your customer quote or invoice, as it is already being included.</t>
  </si>
  <si>
    <t>The template uses conditional formatting to indicate if the AEPA contract includes a clear tax requirement - where the font in column C shows red (or you know you need to include tax), populate applicable tax rates to generate an estimated tax figure.</t>
  </si>
  <si>
    <t>Bonds - The template uses conditional formatting to indicate if the AEPA contract includes a clear bond requirement for the state in question - where the font in column C shows red (or you know a bond is required), input a 1 to calculate a bond on the job.</t>
  </si>
  <si>
    <r>
      <t xml:space="preserve">Tax - The tax calculations are only </t>
    </r>
    <r>
      <rPr>
        <i/>
        <sz val="11"/>
        <color rgb="FFFF0000"/>
        <rFont val="Calibri"/>
        <family val="2"/>
        <scheme val="minor"/>
      </rPr>
      <t>estimates</t>
    </r>
    <r>
      <rPr>
        <sz val="11"/>
        <color rgb="FFFF0000"/>
        <rFont val="Calibri"/>
        <family val="2"/>
        <scheme val="minor"/>
      </rPr>
      <t xml:space="preserve"> and should be carefully reviewed before including them on quotes.</t>
    </r>
  </si>
  <si>
    <t>*The most important thing about tax is that you collect and remit applicable taxes. These should be a pass-through item for you, but if you misquote the taxes to the end customer, this may cause you a loss on under-collected taxes. As such, we recommend you complete a detailed review of the calculations in this file an/or calculate them separately and key them into column E of this file.*</t>
  </si>
  <si>
    <t>Higher fee percentages depending on customer type.</t>
  </si>
  <si>
    <t>AEPA fees - The AEPA contract mandates multiple fee arrangements by the state in question - below are multiple fee types this template is built to address:</t>
  </si>
  <si>
    <t>An additional fee charged to the end customer intended to cover the fee due to the AEPA member organization.</t>
  </si>
  <si>
    <t>A line-item upcharge charged to the end customer intended to cover the fee due to the AEPA member organization.</t>
  </si>
  <si>
    <t>REP RESALE</t>
  </si>
  <si>
    <t>PCS RESALE</t>
  </si>
  <si>
    <t>PCS STRUCTURE</t>
  </si>
  <si>
    <t>PCS FREESTANDING</t>
  </si>
  <si>
    <t>PCS SITE AMENITIES</t>
  </si>
  <si>
    <t>GOODINGS GROVE SCHOOL</t>
  </si>
  <si>
    <t>TIM RUSS</t>
  </si>
  <si>
    <t>12914 W 143RD ST</t>
  </si>
  <si>
    <t>HOMER GLEN</t>
  </si>
  <si>
    <t>R507A74AB</t>
  </si>
  <si>
    <t>PC-2918-22-F</t>
  </si>
  <si>
    <t>PC-2918-34-P</t>
  </si>
  <si>
    <t>A2-131410</t>
  </si>
  <si>
    <t>ARTIFICIAL TURF</t>
  </si>
  <si>
    <t>EQUIPMENT INSTALLATION</t>
  </si>
  <si>
    <t>PREV. WAGE INSTALL</t>
  </si>
  <si>
    <t>PREV. WAGE TURF</t>
  </si>
  <si>
    <t>PREV. WAGE EARTH REMOVAL</t>
  </si>
  <si>
    <t>EARTH REMOVAL</t>
  </si>
  <si>
    <t>EARTH DISPOSAL</t>
  </si>
  <si>
    <t>DISPOSAL</t>
  </si>
  <si>
    <t>AGG. BASE TURF</t>
  </si>
  <si>
    <t>PREV. AGG. BASE TURF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</si>
</sst>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rgb="FF000000"/>
      <name val="Times New Roman"/>
      <family val="1"/>
    </font>
    <font>
      <sz val="11"/>
      <name val="Calibri"/>
      <family val="2"/>
      <scheme val="minor"/>
    </font>
    <font>
      <i/>
      <sz val="11"/>
      <color theme="0"/>
      <name val="Calibri"/>
      <family val="2"/>
      <scheme val="minor"/>
    </font>
    <font>
      <i/>
      <sz val="11"/>
      <color rgb="FFFF0000"/>
      <name val="Calibri"/>
      <family val="2"/>
      <scheme val="minor"/>
    </font>
    <font>
      <sz val="11"/>
      <color theme="0"/>
      <name val="Calibri"/>
      <family val="2"/>
      <scheme val="minor"/>
    </font>
    <font>
      <b/>
      <i/>
      <sz val="11"/>
      <name val="Calibri"/>
      <family val="2"/>
      <scheme val="minor"/>
    </font>
    <font>
      <b/>
      <sz val="11"/>
      <name val="Calibri"/>
      <family val="2"/>
      <scheme val="minor"/>
    </font>
    <font>
      <b/>
      <i/>
      <sz val="10"/>
      <color rgb="FFFF0000"/>
      <name val="Calibri"/>
      <family val="2"/>
      <scheme val="minor"/>
    </font>
    <font>
      <sz val="11"/>
      <color rgb="FFFF0000"/>
      <name val="Calibri"/>
      <family val="2"/>
      <scheme val="minor"/>
    </font>
    <font>
      <i/>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s>
  <borders count="2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154">
    <xf numFmtId="0" fontId="0" fillId="0" borderId="0" xfId="0"/>
    <xf numFmtId="43" fontId="0" fillId="0" borderId="0" xfId="1" applyFont="1"/>
    <xf numFmtId="10" fontId="0" fillId="0" borderId="0" xfId="0" applyNumberFormat="1"/>
    <xf numFmtId="43" fontId="0" fillId="2" borderId="0" xfId="1" applyFont="1" applyFill="1"/>
    <xf numFmtId="0" fontId="0" fillId="2" borderId="0" xfId="0" applyFill="1"/>
    <xf numFmtId="16" fontId="0" fillId="0" borderId="0" xfId="0" quotePrefix="1" applyNumberFormat="1" applyAlignment="1">
      <alignment horizontal="left"/>
    </xf>
    <xf numFmtId="0" fontId="0" fillId="0" borderId="0" xfId="0" applyAlignment="1">
      <alignment horizontal="left"/>
    </xf>
    <xf numFmtId="16" fontId="0" fillId="0" borderId="0" xfId="0" applyNumberFormat="1" applyAlignment="1">
      <alignment horizontal="left"/>
    </xf>
    <xf numFmtId="0" fontId="3" fillId="0" borderId="0" xfId="0" applyFont="1"/>
    <xf numFmtId="0" fontId="0" fillId="0" borderId="0" xfId="0" applyAlignment="1">
      <alignment horizontal="left" indent="1"/>
    </xf>
    <xf numFmtId="0" fontId="0" fillId="0" borderId="0" xfId="0" applyAlignment="1">
      <alignment wrapText="1"/>
    </xf>
    <xf numFmtId="0" fontId="0" fillId="0" borderId="0" xfId="0" applyAlignment="1">
      <alignment horizontal="left" wrapText="1" indent="1"/>
    </xf>
    <xf numFmtId="0" fontId="0" fillId="0" borderId="0" xfId="0" applyAlignment="1">
      <alignment vertical="top"/>
    </xf>
    <xf numFmtId="0" fontId="2" fillId="0" borderId="0" xfId="0" applyFont="1" applyAlignment="1">
      <alignment vertical="top"/>
    </xf>
    <xf numFmtId="0" fontId="2" fillId="0" borderId="0" xfId="0" applyFont="1" applyAlignment="1">
      <alignment horizontal="right" vertical="top"/>
    </xf>
    <xf numFmtId="0" fontId="0" fillId="0" borderId="0" xfId="0" applyProtection="1">
      <protection locked="0"/>
    </xf>
    <xf numFmtId="0" fontId="0" fillId="0" borderId="17" xfId="0" applyBorder="1" applyProtection="1">
      <protection locked="0"/>
    </xf>
    <xf numFmtId="0" fontId="0" fillId="0" borderId="18" xfId="0" applyBorder="1" applyProtection="1">
      <protection locked="0"/>
    </xf>
    <xf numFmtId="43" fontId="0" fillId="0" borderId="0" xfId="1" applyFont="1" applyBorder="1" applyProtection="1">
      <protection locked="0"/>
    </xf>
    <xf numFmtId="0" fontId="0" fillId="2" borderId="24"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9" fillId="0" borderId="22"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23" xfId="0" applyFont="1" applyBorder="1" applyAlignment="1" applyProtection="1">
      <alignment horizontal="center" wrapText="1"/>
      <protection locked="0"/>
    </xf>
    <xf numFmtId="0" fontId="0" fillId="2" borderId="14" xfId="0" applyFill="1" applyBorder="1" applyProtection="1">
      <protection locked="0"/>
    </xf>
    <xf numFmtId="0" fontId="0" fillId="2" borderId="15" xfId="0" applyFill="1" applyBorder="1" applyProtection="1">
      <protection locked="0"/>
    </xf>
    <xf numFmtId="43" fontId="0" fillId="2" borderId="15" xfId="1" applyFont="1" applyFill="1" applyBorder="1" applyProtection="1">
      <protection locked="0"/>
    </xf>
    <xf numFmtId="10" fontId="0" fillId="3" borderId="15" xfId="2" applyNumberFormat="1" applyFont="1" applyFill="1" applyBorder="1" applyProtection="1">
      <protection locked="0"/>
    </xf>
    <xf numFmtId="0" fontId="0" fillId="2" borderId="17" xfId="0" applyFill="1" applyBorder="1" applyProtection="1">
      <protection locked="0"/>
    </xf>
    <xf numFmtId="43" fontId="0" fillId="2" borderId="0" xfId="1" applyFont="1" applyFill="1" applyBorder="1" applyProtection="1">
      <protection locked="0"/>
    </xf>
    <xf numFmtId="10" fontId="0" fillId="3" borderId="0" xfId="2" applyNumberFormat="1" applyFont="1" applyFill="1" applyBorder="1" applyProtection="1">
      <protection locked="0"/>
    </xf>
    <xf numFmtId="0" fontId="0" fillId="2" borderId="19" xfId="0" applyFill="1" applyBorder="1" applyProtection="1">
      <protection locked="0"/>
    </xf>
    <xf numFmtId="0" fontId="0" fillId="2" borderId="20" xfId="0" applyFill="1" applyBorder="1" applyProtection="1">
      <protection locked="0"/>
    </xf>
    <xf numFmtId="43" fontId="0" fillId="2" borderId="20" xfId="1" applyFont="1" applyFill="1" applyBorder="1" applyProtection="1">
      <protection locked="0"/>
    </xf>
    <xf numFmtId="10" fontId="0" fillId="3" borderId="20" xfId="2" applyNumberFormat="1" applyFont="1" applyFill="1" applyBorder="1" applyProtection="1">
      <protection locked="0"/>
    </xf>
    <xf numFmtId="9" fontId="0" fillId="0" borderId="0" xfId="2" applyFont="1" applyBorder="1" applyProtection="1">
      <protection locked="0"/>
    </xf>
    <xf numFmtId="43" fontId="0" fillId="0" borderId="18" xfId="1" applyFont="1" applyBorder="1" applyProtection="1">
      <protection locked="0"/>
    </xf>
    <xf numFmtId="0" fontId="2" fillId="3" borderId="14" xfId="0" applyFont="1" applyFill="1" applyBorder="1" applyProtection="1">
      <protection locked="0"/>
    </xf>
    <xf numFmtId="0" fontId="0" fillId="3" borderId="15" xfId="0" applyFill="1" applyBorder="1" applyProtection="1">
      <protection locked="0"/>
    </xf>
    <xf numFmtId="43" fontId="2" fillId="2" borderId="13" xfId="1" applyFont="1" applyFill="1" applyBorder="1" applyProtection="1">
      <protection locked="0"/>
    </xf>
    <xf numFmtId="43" fontId="2" fillId="3" borderId="15" xfId="0" applyNumberFormat="1" applyFont="1" applyFill="1" applyBorder="1" applyProtection="1">
      <protection locked="0"/>
    </xf>
    <xf numFmtId="0" fontId="2" fillId="3" borderId="17" xfId="0" applyFont="1" applyFill="1" applyBorder="1" applyProtection="1">
      <protection locked="0"/>
    </xf>
    <xf numFmtId="43" fontId="2" fillId="3" borderId="0" xfId="1" applyFont="1" applyFill="1" applyBorder="1" applyProtection="1">
      <protection locked="0"/>
    </xf>
    <xf numFmtId="0" fontId="2" fillId="2" borderId="13" xfId="1" applyNumberFormat="1" applyFont="1" applyFill="1" applyBorder="1" applyProtection="1">
      <protection locked="0"/>
    </xf>
    <xf numFmtId="10" fontId="2" fillId="2" borderId="13" xfId="0" applyNumberFormat="1" applyFont="1" applyFill="1" applyBorder="1" applyProtection="1">
      <protection locked="0"/>
    </xf>
    <xf numFmtId="0" fontId="2" fillId="3" borderId="19" xfId="0" applyFont="1" applyFill="1" applyBorder="1" applyProtection="1">
      <protection locked="0"/>
    </xf>
    <xf numFmtId="0" fontId="0" fillId="3" borderId="20" xfId="0" applyFill="1" applyBorder="1" applyProtection="1">
      <protection locked="0"/>
    </xf>
    <xf numFmtId="43" fontId="2" fillId="3" borderId="20" xfId="1" applyFont="1" applyFill="1" applyBorder="1" applyProtection="1">
      <protection locked="0"/>
    </xf>
    <xf numFmtId="0" fontId="2" fillId="3" borderId="20" xfId="0" applyFont="1" applyFill="1" applyBorder="1" applyProtection="1">
      <protection locked="0"/>
    </xf>
    <xf numFmtId="43" fontId="0" fillId="3" borderId="15" xfId="1" applyFont="1" applyFill="1" applyBorder="1" applyProtection="1"/>
    <xf numFmtId="43" fontId="0" fillId="3" borderId="0" xfId="1" applyFont="1" applyFill="1" applyBorder="1" applyProtection="1"/>
    <xf numFmtId="43" fontId="0" fillId="3" borderId="20" xfId="1" applyFont="1" applyFill="1" applyBorder="1" applyProtection="1"/>
    <xf numFmtId="43" fontId="0" fillId="4" borderId="15" xfId="1" applyFont="1" applyFill="1" applyBorder="1" applyProtection="1"/>
    <xf numFmtId="43" fontId="0" fillId="3" borderId="16" xfId="1" applyFont="1" applyFill="1" applyBorder="1" applyProtection="1"/>
    <xf numFmtId="43" fontId="0" fillId="4" borderId="0" xfId="1" applyFont="1" applyFill="1" applyBorder="1" applyProtection="1"/>
    <xf numFmtId="43" fontId="0" fillId="3" borderId="18" xfId="1" applyFont="1" applyFill="1" applyBorder="1" applyProtection="1"/>
    <xf numFmtId="43" fontId="0" fillId="4" borderId="20" xfId="1" applyFont="1" applyFill="1" applyBorder="1" applyProtection="1"/>
    <xf numFmtId="43" fontId="0" fillId="3" borderId="21" xfId="1" applyFont="1" applyFill="1" applyBorder="1" applyProtection="1"/>
    <xf numFmtId="0" fontId="0" fillId="3" borderId="25" xfId="0" applyFill="1" applyBorder="1"/>
    <xf numFmtId="0" fontId="10" fillId="3" borderId="14" xfId="0" applyFont="1" applyFill="1" applyBorder="1"/>
    <xf numFmtId="0" fontId="10" fillId="3" borderId="15" xfId="0" applyFont="1" applyFill="1" applyBorder="1"/>
    <xf numFmtId="0" fontId="5" fillId="3" borderId="15" xfId="0" applyFont="1" applyFill="1" applyBorder="1"/>
    <xf numFmtId="43" fontId="10" fillId="3" borderId="15" xfId="1" applyFont="1" applyFill="1" applyBorder="1" applyProtection="1"/>
    <xf numFmtId="43" fontId="10" fillId="4" borderId="15" xfId="1" applyFont="1" applyFill="1" applyBorder="1" applyProtection="1"/>
    <xf numFmtId="43" fontId="10" fillId="3" borderId="16" xfId="1" applyFont="1" applyFill="1" applyBorder="1" applyProtection="1"/>
    <xf numFmtId="0" fontId="10" fillId="3" borderId="17" xfId="0" applyFont="1" applyFill="1" applyBorder="1"/>
    <xf numFmtId="43" fontId="10" fillId="3" borderId="0" xfId="1" applyFont="1" applyFill="1" applyBorder="1" applyProtection="1"/>
    <xf numFmtId="43" fontId="10" fillId="4" borderId="0" xfId="1" applyFont="1" applyFill="1" applyBorder="1" applyProtection="1"/>
    <xf numFmtId="43" fontId="10" fillId="3" borderId="18" xfId="1" applyFont="1" applyFill="1" applyBorder="1" applyProtection="1"/>
    <xf numFmtId="0" fontId="10" fillId="3" borderId="19" xfId="0" applyFont="1" applyFill="1" applyBorder="1"/>
    <xf numFmtId="0" fontId="10" fillId="3" borderId="20" xfId="0" applyFont="1" applyFill="1" applyBorder="1"/>
    <xf numFmtId="0" fontId="5" fillId="3" borderId="20" xfId="0" applyFont="1" applyFill="1" applyBorder="1"/>
    <xf numFmtId="43" fontId="10" fillId="3" borderId="20" xfId="1" applyFont="1" applyFill="1" applyBorder="1" applyProtection="1"/>
    <xf numFmtId="43" fontId="10" fillId="4" borderId="20" xfId="1" applyFont="1" applyFill="1" applyBorder="1" applyProtection="1"/>
    <xf numFmtId="43" fontId="10" fillId="3" borderId="21" xfId="1" applyFont="1" applyFill="1" applyBorder="1" applyProtection="1"/>
    <xf numFmtId="43" fontId="2" fillId="3" borderId="0" xfId="1" applyFont="1" applyFill="1" applyBorder="1" applyProtection="1"/>
    <xf numFmtId="43" fontId="2" fillId="3" borderId="20" xfId="0" applyNumberFormat="1" applyFont="1" applyFill="1" applyBorder="1"/>
    <xf numFmtId="0" fontId="2" fillId="3" borderId="20" xfId="0" applyFont="1" applyFill="1" applyBorder="1"/>
    <xf numFmtId="0" fontId="0" fillId="3" borderId="15" xfId="0" applyFill="1" applyBorder="1"/>
    <xf numFmtId="43" fontId="2" fillId="4" borderId="15" xfId="1" applyFont="1" applyFill="1" applyBorder="1" applyProtection="1"/>
    <xf numFmtId="43" fontId="2" fillId="3" borderId="15" xfId="1" applyFont="1" applyFill="1" applyBorder="1" applyProtection="1"/>
    <xf numFmtId="43" fontId="2" fillId="4" borderId="15" xfId="0" applyNumberFormat="1" applyFont="1" applyFill="1" applyBorder="1"/>
    <xf numFmtId="43" fontId="2" fillId="4" borderId="0" xfId="1" applyFont="1" applyFill="1" applyBorder="1" applyProtection="1"/>
    <xf numFmtId="43" fontId="2" fillId="4" borderId="20" xfId="1" applyFont="1" applyFill="1" applyBorder="1" applyProtection="1"/>
    <xf numFmtId="43" fontId="2" fillId="3" borderId="20" xfId="1" applyFont="1" applyFill="1" applyBorder="1" applyProtection="1"/>
    <xf numFmtId="43" fontId="2" fillId="4" borderId="20" xfId="0" applyNumberFormat="1" applyFont="1" applyFill="1" applyBorder="1"/>
    <xf numFmtId="0" fontId="2" fillId="3" borderId="22" xfId="0" applyFont="1" applyFill="1" applyBorder="1"/>
    <xf numFmtId="0" fontId="0" fillId="3" borderId="4" xfId="0" applyFill="1" applyBorder="1"/>
    <xf numFmtId="43" fontId="2" fillId="3" borderId="4" xfId="0" applyNumberFormat="1" applyFont="1" applyFill="1" applyBorder="1"/>
    <xf numFmtId="43" fontId="2" fillId="4" borderId="4" xfId="0" applyNumberFormat="1" applyFont="1" applyFill="1" applyBorder="1"/>
    <xf numFmtId="43" fontId="2" fillId="3" borderId="23" xfId="0" applyNumberFormat="1" applyFont="1" applyFill="1" applyBorder="1"/>
    <xf numFmtId="0" fontId="0" fillId="0" borderId="20" xfId="0" applyBorder="1"/>
    <xf numFmtId="0" fontId="0" fillId="0" borderId="21" xfId="0" applyBorder="1"/>
    <xf numFmtId="0" fontId="8" fillId="0" borderId="26" xfId="0" applyFont="1" applyBorder="1"/>
    <xf numFmtId="0" fontId="0" fillId="0" borderId="14" xfId="0" applyBorder="1"/>
    <xf numFmtId="0" fontId="0" fillId="0" borderId="15" xfId="0" applyBorder="1"/>
    <xf numFmtId="10" fontId="0" fillId="0" borderId="15" xfId="0" applyNumberFormat="1" applyBorder="1"/>
    <xf numFmtId="0" fontId="0" fillId="0" borderId="16" xfId="0" applyBorder="1"/>
    <xf numFmtId="0" fontId="0" fillId="0" borderId="17" xfId="0" applyBorder="1"/>
    <xf numFmtId="10" fontId="0" fillId="0" borderId="0" xfId="2" applyNumberFormat="1" applyFont="1" applyBorder="1" applyProtection="1"/>
    <xf numFmtId="0" fontId="0" fillId="0" borderId="18" xfId="0" applyBorder="1"/>
    <xf numFmtId="43" fontId="0" fillId="0" borderId="0" xfId="1" applyFont="1" applyBorder="1" applyProtection="1"/>
    <xf numFmtId="0" fontId="0" fillId="0" borderId="19" xfId="0" applyBorder="1"/>
    <xf numFmtId="0" fontId="2" fillId="3" borderId="15" xfId="0" applyFont="1" applyFill="1" applyBorder="1"/>
    <xf numFmtId="43" fontId="2" fillId="3" borderId="16" xfId="0" applyNumberFormat="1" applyFont="1" applyFill="1" applyBorder="1"/>
    <xf numFmtId="43" fontId="2" fillId="3" borderId="18" xfId="0" applyNumberFormat="1" applyFont="1" applyFill="1" applyBorder="1"/>
    <xf numFmtId="43" fontId="2" fillId="3" borderId="21" xfId="0" applyNumberFormat="1" applyFont="1" applyFill="1" applyBorder="1"/>
    <xf numFmtId="0" fontId="8" fillId="0" borderId="0" xfId="0" applyFont="1"/>
    <xf numFmtId="0" fontId="5" fillId="0" borderId="0" xfId="0" applyFont="1"/>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3" fillId="0" borderId="17" xfId="0" applyFont="1" applyBorder="1" applyAlignment="1" applyProtection="1">
      <alignment horizontal="right"/>
      <protection locked="0"/>
    </xf>
    <xf numFmtId="0" fontId="6" fillId="0" borderId="0" xfId="0" applyFont="1" applyAlignment="1" applyProtection="1">
      <alignment horizontal="right"/>
      <protection locked="0"/>
    </xf>
    <xf numFmtId="49" fontId="5" fillId="0" borderId="0" xfId="0" applyNumberFormat="1" applyFont="1" applyAlignment="1" applyProtection="1">
      <alignment horizontal="center"/>
      <protection locked="0"/>
    </xf>
    <xf numFmtId="0" fontId="3" fillId="0" borderId="0" xfId="0" applyFont="1" applyAlignment="1" applyProtection="1">
      <alignment horizontal="right"/>
      <protection locked="0"/>
    </xf>
    <xf numFmtId="0" fontId="13" fillId="0" borderId="17" xfId="0" applyFont="1" applyBorder="1" applyAlignment="1" applyProtection="1">
      <alignment horizontal="right"/>
      <protection locked="0"/>
    </xf>
    <xf numFmtId="0" fontId="0" fillId="2" borderId="0" xfId="0" applyFill="1" applyProtection="1">
      <protection locked="0"/>
    </xf>
    <xf numFmtId="0" fontId="10" fillId="3" borderId="0" xfId="0" applyFont="1" applyFill="1"/>
    <xf numFmtId="0" fontId="5" fillId="3" borderId="0" xfId="0" applyFont="1" applyFill="1"/>
    <xf numFmtId="0" fontId="0" fillId="3" borderId="0" xfId="0" applyFill="1" applyProtection="1">
      <protection locked="0"/>
    </xf>
    <xf numFmtId="43" fontId="2" fillId="3" borderId="0" xfId="0" applyNumberFormat="1" applyFont="1" applyFill="1"/>
    <xf numFmtId="0" fontId="2" fillId="3" borderId="0" xfId="0" applyFont="1" applyFill="1" applyProtection="1">
      <protection locked="0"/>
    </xf>
    <xf numFmtId="0" fontId="2" fillId="3" borderId="0" xfId="0" applyFont="1" applyFill="1"/>
    <xf numFmtId="43" fontId="2" fillId="4" borderId="0" xfId="0" applyNumberFormat="1" applyFont="1" applyFill="1"/>
    <xf numFmtId="0" fontId="11" fillId="0" borderId="17" xfId="0" applyFont="1" applyBorder="1"/>
    <xf numFmtId="0" fontId="8" fillId="0" borderId="27" xfId="0" applyFont="1" applyBorder="1"/>
    <xf numFmtId="0" fontId="8" fillId="0" borderId="28" xfId="0" applyFont="1" applyBorder="1"/>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5" fillId="0" borderId="20" xfId="0" applyFont="1" applyBorder="1"/>
    <xf numFmtId="0" fontId="8" fillId="0" borderId="21" xfId="0" applyFont="1" applyBorder="1"/>
    <xf numFmtId="0" fontId="0" fillId="0" borderId="0" xfId="0" applyAlignment="1">
      <alignment horizontal="left" vertical="top" wrapText="1" indent="1"/>
    </xf>
    <xf numFmtId="0" fontId="0" fillId="0" borderId="0" xfId="0" applyAlignment="1">
      <alignment horizontal="left" vertical="top" wrapText="1"/>
    </xf>
    <xf numFmtId="0" fontId="7" fillId="0" borderId="0" xfId="0" applyFont="1" applyAlignment="1">
      <alignment horizontal="left" vertical="top" wrapText="1" indent="1"/>
    </xf>
    <xf numFmtId="0" fontId="12" fillId="0" borderId="0" xfId="0" applyFont="1" applyAlignment="1">
      <alignment horizontal="left" vertical="top" wrapText="1"/>
    </xf>
    <xf numFmtId="0" fontId="5" fillId="0" borderId="0" xfId="0" applyFont="1" applyAlignment="1">
      <alignment horizontal="left" vertical="top" wrapText="1"/>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14" fontId="0" fillId="2" borderId="10" xfId="0" applyNumberForma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8"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cellXfs>
  <cellStyles count="4">
    <cellStyle name="Comma" xfId="1" builtinId="3"/>
    <cellStyle name="Normal" xfId="0" builtinId="0"/>
    <cellStyle name="Normal 2" xfId="3" xr:uid="{ABD4A50B-E79B-466D-BD05-89DC64FB1030}"/>
    <cellStyle name="Percent" xfId="2" builtinId="5"/>
  </cellStyles>
  <dxfs count="16">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b/>
        <i val="0"/>
        <color rgb="FFFF0000"/>
      </font>
    </dxf>
    <dxf>
      <border>
        <left/>
        <right/>
        <top/>
        <bottom style="thin">
          <color auto="1"/>
        </bottom>
        <vertical/>
        <horizontal/>
      </border>
    </dxf>
    <dxf>
      <border>
        <left/>
        <right/>
        <top/>
        <bottom style="thin">
          <color auto="1"/>
        </bottom>
        <vertical/>
        <horizontal/>
      </border>
    </dxf>
    <dxf>
      <border>
        <left/>
        <right/>
        <top/>
        <bottom style="thin">
          <color auto="1"/>
        </bottom>
        <vertical/>
        <horizontal/>
      </border>
    </dxf>
    <dxf>
      <border>
        <left/>
        <right/>
        <top/>
        <bottom style="thin">
          <color auto="1"/>
        </bottom>
        <vertical/>
        <horizontal/>
      </border>
    </dxf>
    <dxf>
      <border>
        <left/>
        <right/>
        <top/>
        <bottom style="thin">
          <color auto="1"/>
        </bottom>
        <vertical/>
        <horizontal/>
      </border>
    </dxf>
    <dxf>
      <border>
        <left/>
        <right/>
        <top/>
        <bottom style="thin">
          <color auto="1"/>
        </bottom>
        <vertical/>
        <horizontal/>
      </border>
    </dxf>
    <dxf>
      <font>
        <color auto="1"/>
      </font>
    </dxf>
    <dxf>
      <font>
        <color auto="1"/>
      </font>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58ED-53D1-49AE-AF79-38716757D97E}">
  <sheetPr>
    <pageSetUpPr fitToPage="1"/>
  </sheetPr>
  <dimension ref="A1:G32"/>
  <sheetViews>
    <sheetView zoomScaleNormal="100" workbookViewId="0">
      <pane xSplit="2" ySplit="1" topLeftCell="C8" activePane="bottomRight" state="frozen"/>
      <selection pane="topRight" activeCell="C1" sqref="C1"/>
      <selection pane="bottomLeft" activeCell="A2" sqref="A2"/>
      <selection pane="bottomRight" activeCell="C11" sqref="C11:D11"/>
    </sheetView>
  </sheetViews>
  <sheetFormatPr defaultRowHeight="14.4" x14ac:dyDescent="0.3"/>
  <cols>
    <col min="1" max="1" width="2.5546875" style="12" bestFit="1" customWidth="1"/>
    <col min="2" max="2" width="2.6640625" style="12" bestFit="1" customWidth="1"/>
    <col min="3" max="3" width="54.88671875" style="10" customWidth="1"/>
    <col min="4" max="4" width="54.5546875" customWidth="1"/>
  </cols>
  <sheetData>
    <row r="1" spans="1:4" x14ac:dyDescent="0.3">
      <c r="A1" s="13" t="s">
        <v>187</v>
      </c>
    </row>
    <row r="3" spans="1:4" ht="30" customHeight="1" x14ac:dyDescent="0.3">
      <c r="A3" s="14" t="s">
        <v>173</v>
      </c>
      <c r="B3" s="14" t="s">
        <v>174</v>
      </c>
      <c r="C3" s="138" t="s">
        <v>189</v>
      </c>
      <c r="D3" s="138"/>
    </row>
    <row r="4" spans="1:4" ht="30" customHeight="1" x14ac:dyDescent="0.3">
      <c r="A4" s="14" t="s">
        <v>175</v>
      </c>
      <c r="B4" s="14" t="s">
        <v>174</v>
      </c>
      <c r="C4" s="138" t="s">
        <v>190</v>
      </c>
      <c r="D4" s="138"/>
    </row>
    <row r="5" spans="1:4" ht="30" customHeight="1" x14ac:dyDescent="0.3">
      <c r="A5" s="14" t="s">
        <v>174</v>
      </c>
      <c r="B5" s="14" t="s">
        <v>176</v>
      </c>
      <c r="C5" s="137" t="s">
        <v>191</v>
      </c>
      <c r="D5" s="137"/>
    </row>
    <row r="6" spans="1:4" s="8" customFormat="1" ht="30" customHeight="1" x14ac:dyDescent="0.3">
      <c r="A6" s="14" t="s">
        <v>174</v>
      </c>
      <c r="B6" s="14" t="s">
        <v>174</v>
      </c>
      <c r="C6" s="139" t="s">
        <v>167</v>
      </c>
      <c r="D6" s="139"/>
    </row>
    <row r="7" spans="1:4" ht="45" customHeight="1" x14ac:dyDescent="0.3">
      <c r="A7" s="14" t="s">
        <v>177</v>
      </c>
      <c r="B7" s="14" t="s">
        <v>174</v>
      </c>
      <c r="C7" s="141" t="s">
        <v>194</v>
      </c>
      <c r="D7" s="141"/>
    </row>
    <row r="8" spans="1:4" ht="30" customHeight="1" x14ac:dyDescent="0.3">
      <c r="A8" s="14" t="s">
        <v>178</v>
      </c>
      <c r="B8" s="14" t="s">
        <v>174</v>
      </c>
      <c r="C8" s="138" t="s">
        <v>168</v>
      </c>
      <c r="D8" s="138"/>
    </row>
    <row r="9" spans="1:4" ht="45" customHeight="1" x14ac:dyDescent="0.3">
      <c r="A9" s="14" t="s">
        <v>179</v>
      </c>
      <c r="B9" s="14" t="s">
        <v>174</v>
      </c>
      <c r="C9" s="138" t="s">
        <v>192</v>
      </c>
      <c r="D9" s="138"/>
    </row>
    <row r="10" spans="1:4" x14ac:dyDescent="0.3">
      <c r="A10" s="14" t="s">
        <v>180</v>
      </c>
      <c r="B10" s="14" t="s">
        <v>174</v>
      </c>
      <c r="C10" s="140" t="s">
        <v>195</v>
      </c>
      <c r="D10" s="140"/>
    </row>
    <row r="11" spans="1:4" ht="45" customHeight="1" x14ac:dyDescent="0.3">
      <c r="A11" s="14" t="s">
        <v>174</v>
      </c>
      <c r="B11" s="14" t="s">
        <v>176</v>
      </c>
      <c r="C11" s="137" t="s">
        <v>193</v>
      </c>
      <c r="D11" s="137"/>
    </row>
    <row r="12" spans="1:4" ht="30" customHeight="1" x14ac:dyDescent="0.3">
      <c r="A12" s="14" t="s">
        <v>174</v>
      </c>
      <c r="B12" s="14" t="s">
        <v>181</v>
      </c>
      <c r="C12" s="137" t="s">
        <v>169</v>
      </c>
      <c r="D12" s="137"/>
    </row>
    <row r="13" spans="1:4" ht="30" customHeight="1" x14ac:dyDescent="0.3">
      <c r="A13" s="14" t="s">
        <v>174</v>
      </c>
      <c r="B13" s="14" t="s">
        <v>182</v>
      </c>
      <c r="C13" s="137" t="s">
        <v>188</v>
      </c>
      <c r="D13" s="137"/>
    </row>
    <row r="14" spans="1:4" ht="30" customHeight="1" x14ac:dyDescent="0.3">
      <c r="A14" s="14" t="s">
        <v>174</v>
      </c>
      <c r="B14" s="14" t="s">
        <v>183</v>
      </c>
      <c r="C14" s="137" t="s">
        <v>166</v>
      </c>
      <c r="D14" s="137"/>
    </row>
    <row r="15" spans="1:4" ht="60" customHeight="1" x14ac:dyDescent="0.3">
      <c r="A15" s="14" t="s">
        <v>174</v>
      </c>
      <c r="B15" s="14" t="s">
        <v>174</v>
      </c>
      <c r="C15" s="139" t="s">
        <v>196</v>
      </c>
      <c r="D15" s="139"/>
    </row>
    <row r="16" spans="1:4" ht="30" customHeight="1" x14ac:dyDescent="0.3">
      <c r="A16" s="14" t="s">
        <v>184</v>
      </c>
      <c r="B16" s="14" t="s">
        <v>174</v>
      </c>
      <c r="C16" s="138" t="s">
        <v>198</v>
      </c>
      <c r="D16" s="138"/>
    </row>
    <row r="17" spans="1:7" ht="15" customHeight="1" x14ac:dyDescent="0.3">
      <c r="A17" s="14" t="s">
        <v>174</v>
      </c>
      <c r="B17" s="14" t="s">
        <v>176</v>
      </c>
      <c r="C17" s="137" t="s">
        <v>199</v>
      </c>
      <c r="D17" s="137"/>
    </row>
    <row r="18" spans="1:7" s="9" customFormat="1" ht="15" customHeight="1" x14ac:dyDescent="0.3">
      <c r="A18" s="14" t="s">
        <v>174</v>
      </c>
      <c r="B18" s="14" t="s">
        <v>181</v>
      </c>
      <c r="C18" s="137" t="s">
        <v>200</v>
      </c>
      <c r="D18" s="137"/>
      <c r="G18"/>
    </row>
    <row r="19" spans="1:7" x14ac:dyDescent="0.3">
      <c r="A19" s="14" t="s">
        <v>174</v>
      </c>
      <c r="B19" s="14" t="s">
        <v>182</v>
      </c>
      <c r="C19" s="137" t="s">
        <v>170</v>
      </c>
      <c r="D19" s="137"/>
    </row>
    <row r="20" spans="1:7" x14ac:dyDescent="0.3">
      <c r="A20" s="14" t="s">
        <v>174</v>
      </c>
      <c r="B20" s="14" t="s">
        <v>183</v>
      </c>
      <c r="C20" s="137" t="s">
        <v>197</v>
      </c>
      <c r="D20" s="137"/>
    </row>
    <row r="21" spans="1:7" x14ac:dyDescent="0.3">
      <c r="A21" s="14" t="s">
        <v>174</v>
      </c>
      <c r="B21" s="14" t="s">
        <v>185</v>
      </c>
      <c r="C21" s="137" t="s">
        <v>171</v>
      </c>
      <c r="D21" s="137"/>
    </row>
    <row r="22" spans="1:7" ht="45" customHeight="1" x14ac:dyDescent="0.3">
      <c r="A22" s="14" t="s">
        <v>186</v>
      </c>
      <c r="B22" s="14" t="s">
        <v>174</v>
      </c>
      <c r="C22" s="138" t="s">
        <v>172</v>
      </c>
      <c r="D22" s="138"/>
    </row>
    <row r="23" spans="1:7" x14ac:dyDescent="0.3">
      <c r="A23" s="14"/>
      <c r="B23" s="14"/>
      <c r="C23" s="11" t="s">
        <v>144</v>
      </c>
      <c r="D23" s="11" t="s">
        <v>155</v>
      </c>
    </row>
    <row r="24" spans="1:7" x14ac:dyDescent="0.3">
      <c r="A24" s="14"/>
      <c r="B24" s="14"/>
      <c r="C24" s="11" t="s">
        <v>145</v>
      </c>
      <c r="D24" s="11" t="s">
        <v>156</v>
      </c>
    </row>
    <row r="25" spans="1:7" x14ac:dyDescent="0.3">
      <c r="A25" s="14"/>
      <c r="B25" s="14"/>
      <c r="C25" s="11" t="s">
        <v>146</v>
      </c>
      <c r="D25" s="11" t="s">
        <v>154</v>
      </c>
    </row>
    <row r="26" spans="1:7" x14ac:dyDescent="0.3">
      <c r="A26" s="14"/>
      <c r="B26" s="14"/>
      <c r="C26" s="11" t="s">
        <v>147</v>
      </c>
      <c r="D26" s="11" t="s">
        <v>157</v>
      </c>
    </row>
    <row r="27" spans="1:7" x14ac:dyDescent="0.3">
      <c r="A27" s="14"/>
      <c r="B27" s="14"/>
      <c r="C27" s="11" t="s">
        <v>148</v>
      </c>
      <c r="D27" s="11" t="s">
        <v>158</v>
      </c>
    </row>
    <row r="28" spans="1:7" x14ac:dyDescent="0.3">
      <c r="A28" s="14"/>
      <c r="B28" s="14"/>
      <c r="C28" s="11" t="s">
        <v>150</v>
      </c>
      <c r="D28" s="11" t="s">
        <v>159</v>
      </c>
    </row>
    <row r="29" spans="1:7" x14ac:dyDescent="0.3">
      <c r="A29" s="14"/>
      <c r="B29" s="14"/>
      <c r="C29" s="11" t="s">
        <v>149</v>
      </c>
      <c r="D29" s="11" t="s">
        <v>161</v>
      </c>
    </row>
    <row r="30" spans="1:7" x14ac:dyDescent="0.3">
      <c r="A30" s="14"/>
      <c r="B30" s="14"/>
      <c r="C30" s="11" t="s">
        <v>151</v>
      </c>
      <c r="D30" s="11" t="s">
        <v>160</v>
      </c>
    </row>
    <row r="31" spans="1:7" x14ac:dyDescent="0.3">
      <c r="A31" s="14"/>
      <c r="B31" s="14"/>
      <c r="C31" s="11" t="s">
        <v>152</v>
      </c>
      <c r="D31" s="11" t="s">
        <v>162</v>
      </c>
    </row>
    <row r="32" spans="1:7" x14ac:dyDescent="0.3">
      <c r="A32" s="14"/>
      <c r="B32" s="14"/>
      <c r="C32" s="11" t="s">
        <v>153</v>
      </c>
      <c r="D32" s="11"/>
    </row>
  </sheetData>
  <sheetProtection algorithmName="SHA-512" hashValue="tNFdbhOh+A84oCNJuhe3+Q9EhT8D14zA8zue2HkHLsREouTpOF+F5MWDBCUvgT9GOQoSya37BkHcD2EElr3iYg==" saltValue="YOhnDeozvoustiCabhb10A==" spinCount="100000" sheet="1" objects="1" scenarios="1"/>
  <mergeCells count="20">
    <mergeCell ref="C5:D5"/>
    <mergeCell ref="C4:D4"/>
    <mergeCell ref="C3:D3"/>
    <mergeCell ref="C11:D11"/>
    <mergeCell ref="C10:D10"/>
    <mergeCell ref="C9:D9"/>
    <mergeCell ref="C8:D8"/>
    <mergeCell ref="C7:D7"/>
    <mergeCell ref="C6:D6"/>
    <mergeCell ref="C12:D12"/>
    <mergeCell ref="C22:D22"/>
    <mergeCell ref="C21:D21"/>
    <mergeCell ref="C20:D20"/>
    <mergeCell ref="C19:D19"/>
    <mergeCell ref="C18:D18"/>
    <mergeCell ref="C17:D17"/>
    <mergeCell ref="C16:D16"/>
    <mergeCell ref="C15:D15"/>
    <mergeCell ref="C14:D14"/>
    <mergeCell ref="C13:D13"/>
  </mergeCells>
  <pageMargins left="0.25" right="0.25" top="0.75" bottom="0.75" header="0.3" footer="0.3"/>
  <pageSetup scale="88" fitToHeight="0" orientation="portrait" r:id="rId1"/>
  <headerFooter>
    <oddHeader xml:space="preserve">&amp;L&amp;"-,Bold"&amp;14&amp;A - &amp;F </oddHeader>
    <oddFooter>&amp;L&amp;Z&amp;F&amp;A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F70E-0070-494F-8E85-29951D7C0BAB}">
  <sheetPr>
    <pageSetUpPr fitToPage="1"/>
  </sheetPr>
  <dimension ref="A1:P64"/>
  <sheetViews>
    <sheetView tabSelected="1" workbookViewId="0">
      <pane xSplit="1" ySplit="14" topLeftCell="B27" activePane="bottomRight" state="frozen"/>
      <selection pane="topRight" activeCell="B1" sqref="B1"/>
      <selection pane="bottomLeft" activeCell="A15" sqref="A15"/>
      <selection pane="bottomRight" activeCell="M15" sqref="M15"/>
    </sheetView>
  </sheetViews>
  <sheetFormatPr defaultColWidth="9.109375" defaultRowHeight="14.4" outlineLevelRow="1" outlineLevelCol="1" x14ac:dyDescent="0.3"/>
  <cols>
    <col min="1" max="1" width="2" style="15" hidden="1" customWidth="1" outlineLevel="1"/>
    <col min="2" max="2" width="21.5546875" style="15" bestFit="1" customWidth="1" collapsed="1"/>
    <col min="3" max="3" width="18.109375" style="15" bestFit="1" customWidth="1"/>
    <col min="4" max="4" width="8" style="15" bestFit="1" customWidth="1"/>
    <col min="5" max="5" width="13.6640625" style="15" customWidth="1"/>
    <col min="6" max="6" width="10.6640625" style="15" bestFit="1" customWidth="1"/>
    <col min="7" max="7" width="13.6640625" style="15" customWidth="1"/>
    <col min="8" max="8" width="11.6640625" style="15" hidden="1" customWidth="1" outlineLevel="1"/>
    <col min="9" max="9" width="13.6640625" style="15" customWidth="1" collapsed="1"/>
    <col min="10" max="16" width="13.6640625" style="15" customWidth="1"/>
    <col min="17" max="16384" width="9.109375" style="15"/>
  </cols>
  <sheetData>
    <row r="1" spans="1:16" hidden="1" outlineLevel="1" x14ac:dyDescent="0.3">
      <c r="A1" s="97"/>
      <c r="B1" s="98" t="s">
        <v>6</v>
      </c>
      <c r="C1" s="99">
        <v>0</v>
      </c>
      <c r="D1" s="98"/>
      <c r="E1" s="98"/>
      <c r="F1" s="98"/>
      <c r="G1" s="98"/>
      <c r="H1" s="98"/>
      <c r="I1" s="98"/>
      <c r="J1" s="98"/>
      <c r="K1" s="98"/>
      <c r="L1" s="98"/>
      <c r="M1" s="98"/>
      <c r="N1" s="98"/>
      <c r="O1" s="98"/>
      <c r="P1" s="100"/>
    </row>
    <row r="2" spans="1:16" hidden="1" outlineLevel="1" x14ac:dyDescent="0.3">
      <c r="A2" s="101"/>
      <c r="B2" t="s">
        <v>10</v>
      </c>
      <c r="C2" s="102">
        <f>IF(P9="AEPA",INDEX(Lookup!$A$1:$AB$81,MATCH(Summary!$H$9&amp;Summary!$D$12,Lookup!$A$1:$A$81,0),MATCH(Summary!$B2,Lookup!$A$1:$AB$1,0)),IFERROR(INDEX(Lookup!Q:Q,MATCH($P$9,Lookup!P:P,0)),0))</f>
        <v>0.03</v>
      </c>
      <c r="D2"/>
      <c r="E2"/>
      <c r="F2"/>
      <c r="G2"/>
      <c r="H2"/>
      <c r="I2"/>
      <c r="J2"/>
      <c r="K2"/>
      <c r="L2"/>
      <c r="M2"/>
      <c r="N2"/>
      <c r="O2"/>
      <c r="P2" s="103"/>
    </row>
    <row r="3" spans="1:16" hidden="1" outlineLevel="1" x14ac:dyDescent="0.3">
      <c r="A3" s="101"/>
      <c r="B3" t="s">
        <v>11</v>
      </c>
      <c r="C3" s="102">
        <f>IF(P9="AEPA",INDEX(Lookup!$A$1:$AB$81,MATCH(Summary!$H$9&amp;Summary!$D$12,Lookup!$A$1:$A$81,0),MATCH(Summary!$B3,Lookup!$A$1:$AB$1,0)),0)</f>
        <v>0</v>
      </c>
      <c r="D3"/>
      <c r="E3"/>
      <c r="F3"/>
      <c r="G3"/>
      <c r="H3"/>
      <c r="I3"/>
      <c r="J3"/>
      <c r="K3"/>
      <c r="L3"/>
      <c r="M3"/>
      <c r="N3"/>
      <c r="O3"/>
      <c r="P3" s="103"/>
    </row>
    <row r="4" spans="1:16" hidden="1" outlineLevel="1" x14ac:dyDescent="0.3">
      <c r="A4" s="101"/>
      <c r="B4" t="s">
        <v>12</v>
      </c>
      <c r="C4" s="102">
        <f>IF(P9="AEPA",INDEX(Lookup!$A$1:$AB$81,MATCH(Summary!$H$9&amp;Summary!$D$12,Lookup!$A$1:$A$81,0),MATCH(Summary!$B4,Lookup!$A$1:$AB$1,0)),0)</f>
        <v>0</v>
      </c>
      <c r="D4"/>
      <c r="E4"/>
      <c r="F4"/>
      <c r="G4"/>
      <c r="H4"/>
      <c r="I4"/>
      <c r="J4"/>
      <c r="K4"/>
      <c r="L4"/>
      <c r="M4"/>
      <c r="N4"/>
      <c r="O4"/>
      <c r="P4" s="103"/>
    </row>
    <row r="5" spans="1:16" hidden="1" outlineLevel="1" x14ac:dyDescent="0.3">
      <c r="A5" s="101"/>
      <c r="B5" t="s">
        <v>13</v>
      </c>
      <c r="C5" s="104">
        <f>IF(P9="AEPA",INDEX(Lookup!$A$1:$AB$81,MATCH(Summary!$H$9&amp;Summary!$D$12,Lookup!$A$1:$A$81,0),MATCH(Summary!$B5,Lookup!$A$1:$AB$1,0)),0)</f>
        <v>0</v>
      </c>
      <c r="D5"/>
      <c r="E5"/>
      <c r="F5"/>
      <c r="G5"/>
      <c r="H5"/>
      <c r="I5"/>
      <c r="J5"/>
      <c r="K5"/>
      <c r="L5"/>
      <c r="M5"/>
      <c r="N5"/>
      <c r="O5"/>
      <c r="P5" s="103"/>
    </row>
    <row r="6" spans="1:16" hidden="1" outlineLevel="1" x14ac:dyDescent="0.3">
      <c r="A6" s="101"/>
      <c r="B6" t="s">
        <v>14</v>
      </c>
      <c r="C6" s="104">
        <f>IF(P9="AEPA",INDEX(Lookup!$A$1:$AB$81,MATCH(Summary!$H$9&amp;Summary!$D$12,Lookup!$A$1:$A$81,0),MATCH(Summary!$B6,Lookup!$A$1:$AB$1,0)),0)</f>
        <v>0</v>
      </c>
      <c r="D6"/>
      <c r="E6"/>
      <c r="F6"/>
      <c r="G6"/>
      <c r="H6"/>
      <c r="I6"/>
      <c r="J6"/>
      <c r="K6"/>
      <c r="L6"/>
      <c r="M6"/>
      <c r="N6"/>
      <c r="O6"/>
      <c r="P6" s="103"/>
    </row>
    <row r="7" spans="1:16" hidden="1" outlineLevel="1" x14ac:dyDescent="0.3">
      <c r="A7" s="101"/>
      <c r="B7" t="s">
        <v>15</v>
      </c>
      <c r="C7" s="104">
        <f>IF(P9="AEPA",INDEX(Lookup!$A$1:$AB$81,MATCH(Summary!$H$9&amp;Summary!$D$12,Lookup!$A$1:$A$81,0),MATCH(Summary!$B7,Lookup!$A$1:$AB$1,0)),0)</f>
        <v>0</v>
      </c>
      <c r="D7"/>
      <c r="E7"/>
      <c r="F7"/>
      <c r="G7"/>
      <c r="H7"/>
      <c r="I7"/>
      <c r="J7"/>
      <c r="K7"/>
      <c r="L7"/>
      <c r="M7"/>
      <c r="N7"/>
      <c r="O7"/>
      <c r="P7" s="103"/>
    </row>
    <row r="8" spans="1:16" ht="4.5" customHeight="1" collapsed="1" thickBot="1" x14ac:dyDescent="0.35">
      <c r="A8" s="16"/>
      <c r="B8" s="112"/>
      <c r="C8" s="113"/>
      <c r="D8" s="113"/>
      <c r="E8" s="113"/>
      <c r="F8" s="113"/>
      <c r="G8" s="113"/>
      <c r="H8" s="113"/>
      <c r="I8" s="113"/>
      <c r="J8" s="113"/>
      <c r="K8" s="113"/>
      <c r="L8" s="113"/>
      <c r="M8" s="113"/>
      <c r="N8" s="113"/>
      <c r="O8" s="113"/>
      <c r="P8" s="114"/>
    </row>
    <row r="9" spans="1:16" ht="15" customHeight="1" thickBot="1" x14ac:dyDescent="0.35">
      <c r="A9" s="16"/>
      <c r="B9" s="115" t="s">
        <v>24</v>
      </c>
      <c r="C9" s="151" t="s">
        <v>206</v>
      </c>
      <c r="D9" s="152"/>
      <c r="E9" s="153"/>
      <c r="G9" s="116" t="s">
        <v>8</v>
      </c>
      <c r="H9" s="117"/>
      <c r="I9" s="118" t="s">
        <v>25</v>
      </c>
      <c r="J9" s="142">
        <v>44992</v>
      </c>
      <c r="K9" s="143"/>
      <c r="L9" s="144"/>
      <c r="O9" s="118" t="s">
        <v>27</v>
      </c>
      <c r="P9" s="19" t="s">
        <v>95</v>
      </c>
    </row>
    <row r="10" spans="1:16" ht="15" customHeight="1" thickBot="1" x14ac:dyDescent="0.35">
      <c r="A10" s="16"/>
      <c r="B10" s="119" t="s">
        <v>130</v>
      </c>
      <c r="C10" s="145" t="s">
        <v>207</v>
      </c>
      <c r="D10" s="146"/>
      <c r="E10" s="147"/>
      <c r="I10" s="118" t="s">
        <v>26</v>
      </c>
      <c r="J10" s="145" t="s">
        <v>207</v>
      </c>
      <c r="K10" s="146"/>
      <c r="L10" s="147"/>
      <c r="O10" s="118" t="s">
        <v>28</v>
      </c>
      <c r="P10" s="61"/>
    </row>
    <row r="11" spans="1:16" ht="15" customHeight="1" thickBot="1" x14ac:dyDescent="0.35">
      <c r="A11" s="16"/>
      <c r="B11" s="115"/>
      <c r="C11" s="148" t="s">
        <v>208</v>
      </c>
      <c r="D11" s="149"/>
      <c r="E11" s="150"/>
      <c r="I11" s="118"/>
      <c r="J11" s="148" t="s">
        <v>208</v>
      </c>
      <c r="K11" s="149"/>
      <c r="L11" s="150"/>
      <c r="O11" s="118" t="s">
        <v>29</v>
      </c>
      <c r="P11" s="20"/>
    </row>
    <row r="12" spans="1:16" ht="15" customHeight="1" thickBot="1" x14ac:dyDescent="0.35">
      <c r="A12" s="16"/>
      <c r="B12" s="115"/>
      <c r="C12" s="22" t="s">
        <v>209</v>
      </c>
      <c r="D12" s="21" t="s">
        <v>106</v>
      </c>
      <c r="E12" s="23">
        <v>60491</v>
      </c>
      <c r="I12" s="118"/>
      <c r="J12" s="22" t="s">
        <v>209</v>
      </c>
      <c r="K12" s="21" t="s">
        <v>106</v>
      </c>
      <c r="L12" s="23">
        <v>60491</v>
      </c>
      <c r="O12" s="118" t="s">
        <v>30</v>
      </c>
      <c r="P12" s="20" t="s">
        <v>88</v>
      </c>
    </row>
    <row r="13" spans="1:16" ht="4.5" customHeight="1" x14ac:dyDescent="0.3">
      <c r="A13" s="16"/>
      <c r="B13" s="16"/>
      <c r="P13" s="17"/>
    </row>
    <row r="14" spans="1:16" ht="30" customHeight="1" x14ac:dyDescent="0.3">
      <c r="A14" s="16"/>
      <c r="B14" s="24" t="s">
        <v>31</v>
      </c>
      <c r="C14" s="25" t="s">
        <v>32</v>
      </c>
      <c r="D14" s="25" t="s">
        <v>0</v>
      </c>
      <c r="E14" s="25" t="s">
        <v>35</v>
      </c>
      <c r="F14" s="25" t="s">
        <v>33</v>
      </c>
      <c r="G14" s="25" t="s">
        <v>36</v>
      </c>
      <c r="H14" s="25" t="s">
        <v>34</v>
      </c>
      <c r="I14" s="25" t="s">
        <v>37</v>
      </c>
      <c r="J14" s="25" t="s">
        <v>38</v>
      </c>
      <c r="K14" s="25" t="s">
        <v>39</v>
      </c>
      <c r="L14" s="25" t="s">
        <v>4</v>
      </c>
      <c r="M14" s="25" t="s">
        <v>5</v>
      </c>
      <c r="N14" s="25" t="s">
        <v>40</v>
      </c>
      <c r="O14" s="25" t="s">
        <v>22</v>
      </c>
      <c r="P14" s="26" t="s">
        <v>41</v>
      </c>
    </row>
    <row r="15" spans="1:16" x14ac:dyDescent="0.3">
      <c r="A15" s="101">
        <f>IFERROR(INDEX(Lookup!S:S,MATCH(B15,Lookup!T:T,0)),"")</f>
        <v>1</v>
      </c>
      <c r="B15" s="27" t="s">
        <v>203</v>
      </c>
      <c r="C15" s="28" t="s">
        <v>210</v>
      </c>
      <c r="D15" s="29">
        <v>1</v>
      </c>
      <c r="E15" s="29">
        <v>89161</v>
      </c>
      <c r="F15" s="30">
        <v>0.3</v>
      </c>
      <c r="G15" s="52">
        <f>IF(OR(A15="",$D$12="STATE",$D$12=""),"",D15*E15*(1-F15))</f>
        <v>62412.7</v>
      </c>
      <c r="H15" s="52">
        <f t="shared" ref="H15:H38" si="0">IF(OR(A15="",$D$12="STATE",$D$12=""),"",IF($A15=0,0,IF($A15=1,D15*E15*$C$1,"")))</f>
        <v>0</v>
      </c>
      <c r="I15" s="30"/>
      <c r="J15" s="55">
        <f t="shared" ref="J15:J38" si="1">IF(OR(A15="",$D$12="STATE",$D$12=""),"",IF($A15=0,D15*E15*(1+I15)/0.9,IF($A15=1,(D15*E15*0.9+H15)/0.9,"")))</f>
        <v>89161.000000000015</v>
      </c>
      <c r="K15" s="52">
        <f t="shared" ref="K15:K38" si="2">IF(OR(A15="",$D$12="STATE",$D$12=""),"",J15*0.9)</f>
        <v>80244.900000000009</v>
      </c>
      <c r="L15" s="52">
        <f t="shared" ref="L15:L38" si="3">IF(OR(A15="",$D$12="STATE",$D$12=""),"",$C$4*K15)</f>
        <v>0</v>
      </c>
      <c r="M15" s="55">
        <f t="shared" ref="M15:M38" si="4">IF(OR(A15="",$D$12="STATE",$D$12=""),"",K15+L15)</f>
        <v>80244.900000000009</v>
      </c>
      <c r="N15" s="52">
        <f t="shared" ref="N15:N38" si="5">IF(OR(A15="",$D$12="STATE",$D$12=""),"",M15-G15-H15)</f>
        <v>17832.200000000012</v>
      </c>
      <c r="O15" s="52">
        <f t="shared" ref="O15:O38" si="6">IF(OR(A15="",$D$12="STATE",$D$12=""),"",IF($A15=0,($C$2+0.02)*K15,IF($A15=1,L15,0)))</f>
        <v>0</v>
      </c>
      <c r="P15" s="56">
        <f t="shared" ref="P15:P38" si="7">IF(OR(A15="",$D$12="STATE",$D$12=""),"",N15-O15)</f>
        <v>17832.200000000012</v>
      </c>
    </row>
    <row r="16" spans="1:16" x14ac:dyDescent="0.3">
      <c r="A16" s="101">
        <f>IFERROR(INDEX(Lookup!S:S,MATCH(B16,Lookup!T:T,0)),"")</f>
        <v>1</v>
      </c>
      <c r="B16" s="31" t="s">
        <v>204</v>
      </c>
      <c r="C16" s="120" t="s">
        <v>211</v>
      </c>
      <c r="D16" s="32">
        <v>1</v>
      </c>
      <c r="E16" s="32">
        <v>1794</v>
      </c>
      <c r="F16" s="33">
        <v>0.3</v>
      </c>
      <c r="G16" s="53">
        <f t="shared" ref="G16:G21" si="8">IF(OR(A16="",$D$12="STATE",$D$12=""),"",D16*E16*(1-F16))</f>
        <v>1255.8</v>
      </c>
      <c r="H16" s="53">
        <f t="shared" si="0"/>
        <v>0</v>
      </c>
      <c r="I16" s="33"/>
      <c r="J16" s="57">
        <f t="shared" si="1"/>
        <v>1794</v>
      </c>
      <c r="K16" s="53">
        <f t="shared" si="2"/>
        <v>1614.6000000000001</v>
      </c>
      <c r="L16" s="53">
        <f t="shared" si="3"/>
        <v>0</v>
      </c>
      <c r="M16" s="57">
        <f t="shared" si="4"/>
        <v>1614.6000000000001</v>
      </c>
      <c r="N16" s="53">
        <f t="shared" si="5"/>
        <v>358.80000000000018</v>
      </c>
      <c r="O16" s="53">
        <f t="shared" si="6"/>
        <v>0</v>
      </c>
      <c r="P16" s="58">
        <f t="shared" si="7"/>
        <v>358.80000000000018</v>
      </c>
    </row>
    <row r="17" spans="1:16" x14ac:dyDescent="0.3">
      <c r="A17" s="101">
        <f>IFERROR(INDEX(Lookup!S:S,MATCH(B17,Lookup!T:T,0)),"")</f>
        <v>1</v>
      </c>
      <c r="B17" s="31" t="s">
        <v>204</v>
      </c>
      <c r="C17" s="120" t="s">
        <v>212</v>
      </c>
      <c r="D17" s="32">
        <v>2</v>
      </c>
      <c r="E17" s="32">
        <v>1909</v>
      </c>
      <c r="F17" s="33">
        <v>0.3</v>
      </c>
      <c r="G17" s="53">
        <f t="shared" si="8"/>
        <v>2672.6</v>
      </c>
      <c r="H17" s="53">
        <f t="shared" si="0"/>
        <v>0</v>
      </c>
      <c r="I17" s="33"/>
      <c r="J17" s="57">
        <f t="shared" si="1"/>
        <v>3818</v>
      </c>
      <c r="K17" s="53">
        <f t="shared" si="2"/>
        <v>3436.2000000000003</v>
      </c>
      <c r="L17" s="53">
        <f t="shared" si="3"/>
        <v>0</v>
      </c>
      <c r="M17" s="57">
        <f t="shared" si="4"/>
        <v>3436.2000000000003</v>
      </c>
      <c r="N17" s="53">
        <f t="shared" si="5"/>
        <v>763.60000000000036</v>
      </c>
      <c r="O17" s="53">
        <f t="shared" si="6"/>
        <v>0</v>
      </c>
      <c r="P17" s="58">
        <f t="shared" si="7"/>
        <v>763.60000000000036</v>
      </c>
    </row>
    <row r="18" spans="1:16" x14ac:dyDescent="0.3">
      <c r="A18" s="101">
        <f>IFERROR(INDEX(Lookup!S:S,MATCH(B18,Lookup!T:T,0)),"")</f>
        <v>1</v>
      </c>
      <c r="B18" s="31" t="s">
        <v>204</v>
      </c>
      <c r="C18" s="120" t="s">
        <v>213</v>
      </c>
      <c r="D18" s="32">
        <v>1</v>
      </c>
      <c r="E18" s="32">
        <v>1050</v>
      </c>
      <c r="F18" s="33">
        <v>0.3</v>
      </c>
      <c r="G18" s="53">
        <f t="shared" si="8"/>
        <v>735</v>
      </c>
      <c r="H18" s="53">
        <f t="shared" si="0"/>
        <v>0</v>
      </c>
      <c r="I18" s="33"/>
      <c r="J18" s="57">
        <f t="shared" si="1"/>
        <v>1050</v>
      </c>
      <c r="K18" s="53">
        <f t="shared" si="2"/>
        <v>945</v>
      </c>
      <c r="L18" s="53">
        <f t="shared" si="3"/>
        <v>0</v>
      </c>
      <c r="M18" s="57">
        <f t="shared" si="4"/>
        <v>945</v>
      </c>
      <c r="N18" s="53">
        <f t="shared" si="5"/>
        <v>210</v>
      </c>
      <c r="O18" s="53">
        <f t="shared" si="6"/>
        <v>0</v>
      </c>
      <c r="P18" s="58">
        <f t="shared" si="7"/>
        <v>210</v>
      </c>
    </row>
    <row r="19" spans="1:16" x14ac:dyDescent="0.3">
      <c r="A19" s="101">
        <f>IFERROR(INDEX(Lookup!S:S,MATCH(B19,Lookup!T:T,0)),"")</f>
        <v>0</v>
      </c>
      <c r="B19" s="31" t="s">
        <v>3</v>
      </c>
      <c r="C19" s="120" t="s">
        <v>215</v>
      </c>
      <c r="D19" s="32">
        <v>1</v>
      </c>
      <c r="E19" s="32">
        <v>38800</v>
      </c>
      <c r="F19" s="33"/>
      <c r="G19" s="53">
        <f t="shared" si="8"/>
        <v>38800</v>
      </c>
      <c r="H19" s="53">
        <f t="shared" si="0"/>
        <v>0</v>
      </c>
      <c r="I19" s="33">
        <v>0.25</v>
      </c>
      <c r="J19" s="57">
        <f t="shared" si="1"/>
        <v>53888.888888888891</v>
      </c>
      <c r="K19" s="53">
        <f t="shared" si="2"/>
        <v>48500</v>
      </c>
      <c r="L19" s="53">
        <f t="shared" si="3"/>
        <v>0</v>
      </c>
      <c r="M19" s="57">
        <f t="shared" si="4"/>
        <v>48500</v>
      </c>
      <c r="N19" s="53">
        <f t="shared" si="5"/>
        <v>9700</v>
      </c>
      <c r="O19" s="53">
        <f t="shared" si="6"/>
        <v>2425</v>
      </c>
      <c r="P19" s="58">
        <f t="shared" si="7"/>
        <v>7275</v>
      </c>
    </row>
    <row r="20" spans="1:16" x14ac:dyDescent="0.3">
      <c r="A20" s="101">
        <f>IFERROR(INDEX(Lookup!S:S,MATCH(B20,Lookup!T:T,0)),"")</f>
        <v>0</v>
      </c>
      <c r="B20" s="31" t="s">
        <v>3</v>
      </c>
      <c r="C20" s="120" t="s">
        <v>216</v>
      </c>
      <c r="D20" s="32">
        <v>1</v>
      </c>
      <c r="E20" s="32">
        <v>5750</v>
      </c>
      <c r="F20" s="33"/>
      <c r="G20" s="53">
        <f>IF(OR(A20="",$D$12="STATE",$D$12=""),"",D20*E20*(1-F20))</f>
        <v>5750</v>
      </c>
      <c r="H20" s="53">
        <f>IF(OR(A20="",$D$12="STATE",$D$12=""),"",IF($A20=0,0,IF($A20=1,D20*E20*$C$1,"")))</f>
        <v>0</v>
      </c>
      <c r="I20" s="33"/>
      <c r="J20" s="57">
        <f>IF(OR(A20="",$D$12="STATE",$D$12=""),"",IF($A20=0,D20*E20*(1+I20)/0.9,IF($A20=1,(D20*E20*0.9+H20)/0.9,"")))</f>
        <v>6388.8888888888887</v>
      </c>
      <c r="K20" s="53">
        <f t="shared" si="2"/>
        <v>5750</v>
      </c>
      <c r="L20" s="53">
        <f t="shared" si="3"/>
        <v>0</v>
      </c>
      <c r="M20" s="57">
        <f t="shared" si="4"/>
        <v>5750</v>
      </c>
      <c r="N20" s="53">
        <f t="shared" si="5"/>
        <v>0</v>
      </c>
      <c r="O20" s="53">
        <f t="shared" si="6"/>
        <v>287.5</v>
      </c>
      <c r="P20" s="58">
        <f t="shared" si="7"/>
        <v>-287.5</v>
      </c>
    </row>
    <row r="21" spans="1:16" x14ac:dyDescent="0.3">
      <c r="A21" s="101">
        <f>IFERROR(INDEX(Lookup!S:S,MATCH(B21,Lookup!T:T,0)),"")</f>
        <v>0</v>
      </c>
      <c r="B21" s="31" t="s">
        <v>2</v>
      </c>
      <c r="C21" s="120" t="s">
        <v>221</v>
      </c>
      <c r="D21" s="32">
        <v>1</v>
      </c>
      <c r="E21" s="32">
        <v>500</v>
      </c>
      <c r="F21" s="33"/>
      <c r="G21" s="53">
        <f t="shared" si="8"/>
        <v>500</v>
      </c>
      <c r="H21" s="53">
        <f t="shared" si="0"/>
        <v>0</v>
      </c>
      <c r="I21" s="33">
        <v>0.25</v>
      </c>
      <c r="J21" s="57">
        <f t="shared" si="1"/>
        <v>694.44444444444446</v>
      </c>
      <c r="K21" s="53">
        <f t="shared" si="2"/>
        <v>625</v>
      </c>
      <c r="L21" s="53">
        <f t="shared" si="3"/>
        <v>0</v>
      </c>
      <c r="M21" s="57">
        <f t="shared" si="4"/>
        <v>625</v>
      </c>
      <c r="N21" s="53">
        <f t="shared" si="5"/>
        <v>125</v>
      </c>
      <c r="O21" s="53">
        <f t="shared" si="6"/>
        <v>31.25</v>
      </c>
      <c r="P21" s="58">
        <f t="shared" si="7"/>
        <v>93.75</v>
      </c>
    </row>
    <row r="22" spans="1:16" x14ac:dyDescent="0.3">
      <c r="A22" s="101">
        <f>IFERROR(INDEX(Lookup!S:S,MATCH(B22,Lookup!T:T,0)),"")</f>
        <v>0</v>
      </c>
      <c r="B22" s="31" t="s">
        <v>1</v>
      </c>
      <c r="C22" s="120" t="s">
        <v>214</v>
      </c>
      <c r="D22" s="32">
        <v>1</v>
      </c>
      <c r="E22" s="32">
        <v>31750</v>
      </c>
      <c r="F22" s="33"/>
      <c r="G22" s="53">
        <f>IF(OR(A22="",$D$12="STATE",$D$12=""),"",D22*E22*(1-F22))</f>
        <v>31750</v>
      </c>
      <c r="H22" s="53">
        <f>IF(OR(A22="",$D$12="STATE",$D$12=""),"",IF($A22=0,0,IF($A22=1,D22*E22*$C$1,"")))</f>
        <v>0</v>
      </c>
      <c r="I22" s="33">
        <v>0.25</v>
      </c>
      <c r="J22" s="57">
        <f>IF(OR(A22="",$D$12="STATE",$D$12=""),"",IF($A22=0,D22*E22*(1+I22)/0.9,IF($A22=1,(D22*E22*0.9+H22)/0.9,"")))</f>
        <v>44097.222222222219</v>
      </c>
      <c r="K22" s="53">
        <f t="shared" si="2"/>
        <v>39687.5</v>
      </c>
      <c r="L22" s="53">
        <f t="shared" si="3"/>
        <v>0</v>
      </c>
      <c r="M22" s="57">
        <f t="shared" si="4"/>
        <v>39687.5</v>
      </c>
      <c r="N22" s="53">
        <f t="shared" si="5"/>
        <v>7937.5</v>
      </c>
      <c r="O22" s="53">
        <f t="shared" si="6"/>
        <v>1984.375</v>
      </c>
      <c r="P22" s="58">
        <f t="shared" si="7"/>
        <v>5953.125</v>
      </c>
    </row>
    <row r="23" spans="1:16" x14ac:dyDescent="0.3">
      <c r="A23" s="101">
        <f>IFERROR(INDEX(Lookup!S:S,MATCH(B23,Lookup!T:T,0)),"")</f>
        <v>0</v>
      </c>
      <c r="B23" s="31" t="s">
        <v>1</v>
      </c>
      <c r="C23" s="120" t="s">
        <v>217</v>
      </c>
      <c r="D23" s="32">
        <v>1</v>
      </c>
      <c r="E23" s="32">
        <v>1950</v>
      </c>
      <c r="F23" s="33"/>
      <c r="G23" s="53">
        <f t="shared" ref="G23:G38" si="9">IF(OR(A23="",$D$12="STATE",$D$12=""),"",D23*E23*(1-F23))</f>
        <v>1950</v>
      </c>
      <c r="H23" s="53">
        <f t="shared" si="0"/>
        <v>0</v>
      </c>
      <c r="I23" s="33"/>
      <c r="J23" s="57">
        <f t="shared" si="1"/>
        <v>2166.6666666666665</v>
      </c>
      <c r="K23" s="53">
        <f t="shared" si="2"/>
        <v>1950</v>
      </c>
      <c r="L23" s="53">
        <f t="shared" si="3"/>
        <v>0</v>
      </c>
      <c r="M23" s="57">
        <f t="shared" si="4"/>
        <v>1950</v>
      </c>
      <c r="N23" s="53">
        <f t="shared" si="5"/>
        <v>0</v>
      </c>
      <c r="O23" s="53">
        <f t="shared" si="6"/>
        <v>97.5</v>
      </c>
      <c r="P23" s="58">
        <f t="shared" si="7"/>
        <v>-97.5</v>
      </c>
    </row>
    <row r="24" spans="1:16" x14ac:dyDescent="0.3">
      <c r="A24" s="101">
        <f>IFERROR(INDEX(Lookup!S:S,MATCH(B24,Lookup!T:T,0)),"")</f>
        <v>0</v>
      </c>
      <c r="B24" s="31" t="s">
        <v>2</v>
      </c>
      <c r="C24" s="120" t="s">
        <v>222</v>
      </c>
      <c r="D24" s="32">
        <v>1</v>
      </c>
      <c r="E24" s="32">
        <v>4450</v>
      </c>
      <c r="F24" s="33"/>
      <c r="G24" s="53">
        <f t="shared" si="9"/>
        <v>4450</v>
      </c>
      <c r="H24" s="53">
        <f t="shared" si="0"/>
        <v>0</v>
      </c>
      <c r="I24" s="33">
        <v>0.25</v>
      </c>
      <c r="J24" s="57">
        <f t="shared" si="1"/>
        <v>6180.5555555555557</v>
      </c>
      <c r="K24" s="53">
        <f t="shared" si="2"/>
        <v>5562.5</v>
      </c>
      <c r="L24" s="53">
        <f t="shared" si="3"/>
        <v>0</v>
      </c>
      <c r="M24" s="57">
        <f t="shared" si="4"/>
        <v>5562.5</v>
      </c>
      <c r="N24" s="53">
        <f t="shared" si="5"/>
        <v>1112.5</v>
      </c>
      <c r="O24" s="53">
        <f t="shared" si="6"/>
        <v>278.125</v>
      </c>
      <c r="P24" s="58">
        <f t="shared" si="7"/>
        <v>834.375</v>
      </c>
    </row>
    <row r="25" spans="1:16" x14ac:dyDescent="0.3">
      <c r="A25" s="101">
        <f>IFERROR(INDEX(Lookup!S:S,MATCH(B25,Lookup!T:T,0)),"")</f>
        <v>0</v>
      </c>
      <c r="B25" s="31" t="s">
        <v>2</v>
      </c>
      <c r="C25" s="120" t="s">
        <v>223</v>
      </c>
      <c r="D25" s="32">
        <v>1</v>
      </c>
      <c r="E25" s="32">
        <v>525</v>
      </c>
      <c r="F25" s="33"/>
      <c r="G25" s="53">
        <f t="shared" si="9"/>
        <v>525</v>
      </c>
      <c r="H25" s="53">
        <f t="shared" si="0"/>
        <v>0</v>
      </c>
      <c r="I25" s="33"/>
      <c r="J25" s="57">
        <f t="shared" si="1"/>
        <v>583.33333333333337</v>
      </c>
      <c r="K25" s="53">
        <f t="shared" si="2"/>
        <v>525</v>
      </c>
      <c r="L25" s="53">
        <f t="shared" si="3"/>
        <v>0</v>
      </c>
      <c r="M25" s="57">
        <f t="shared" si="4"/>
        <v>525</v>
      </c>
      <c r="N25" s="53">
        <f t="shared" si="5"/>
        <v>0</v>
      </c>
      <c r="O25" s="53">
        <f t="shared" si="6"/>
        <v>26.25</v>
      </c>
      <c r="P25" s="58">
        <f t="shared" si="7"/>
        <v>-26.25</v>
      </c>
    </row>
    <row r="26" spans="1:16" x14ac:dyDescent="0.3">
      <c r="A26" s="101">
        <f>IFERROR(INDEX(Lookup!S:S,MATCH(B26,Lookup!T:T,0)),"")</f>
        <v>0</v>
      </c>
      <c r="B26" s="31" t="s">
        <v>2</v>
      </c>
      <c r="C26" s="120" t="s">
        <v>219</v>
      </c>
      <c r="D26" s="120">
        <v>1</v>
      </c>
      <c r="E26" s="32">
        <v>3200</v>
      </c>
      <c r="F26" s="33"/>
      <c r="G26" s="53">
        <f t="shared" si="9"/>
        <v>3200</v>
      </c>
      <c r="H26" s="53">
        <f t="shared" si="0"/>
        <v>0</v>
      </c>
      <c r="I26" s="33">
        <v>0.25</v>
      </c>
      <c r="J26" s="57">
        <f t="shared" si="1"/>
        <v>4444.4444444444443</v>
      </c>
      <c r="K26" s="53">
        <f t="shared" si="2"/>
        <v>4000</v>
      </c>
      <c r="L26" s="53">
        <f t="shared" si="3"/>
        <v>0</v>
      </c>
      <c r="M26" s="57">
        <f t="shared" si="4"/>
        <v>4000</v>
      </c>
      <c r="N26" s="53">
        <f t="shared" si="5"/>
        <v>800</v>
      </c>
      <c r="O26" s="53">
        <f t="shared" si="6"/>
        <v>200</v>
      </c>
      <c r="P26" s="58">
        <f t="shared" si="7"/>
        <v>600</v>
      </c>
    </row>
    <row r="27" spans="1:16" x14ac:dyDescent="0.3">
      <c r="A27" s="101">
        <f>IFERROR(INDEX(Lookup!S:S,MATCH(B27,Lookup!T:T,0)),"")</f>
        <v>0</v>
      </c>
      <c r="B27" s="31" t="s">
        <v>2</v>
      </c>
      <c r="C27" s="120" t="s">
        <v>218</v>
      </c>
      <c r="D27" s="120">
        <v>1</v>
      </c>
      <c r="E27" s="32">
        <v>525</v>
      </c>
      <c r="F27" s="33"/>
      <c r="G27" s="53">
        <f t="shared" si="9"/>
        <v>525</v>
      </c>
      <c r="H27" s="53">
        <f t="shared" si="0"/>
        <v>0</v>
      </c>
      <c r="I27" s="33"/>
      <c r="J27" s="57">
        <f t="shared" si="1"/>
        <v>583.33333333333337</v>
      </c>
      <c r="K27" s="53">
        <f t="shared" si="2"/>
        <v>525</v>
      </c>
      <c r="L27" s="53">
        <f t="shared" si="3"/>
        <v>0</v>
      </c>
      <c r="M27" s="57">
        <f t="shared" si="4"/>
        <v>525</v>
      </c>
      <c r="N27" s="53">
        <f t="shared" si="5"/>
        <v>0</v>
      </c>
      <c r="O27" s="53">
        <f t="shared" si="6"/>
        <v>26.25</v>
      </c>
      <c r="P27" s="58">
        <f t="shared" si="7"/>
        <v>-26.25</v>
      </c>
    </row>
    <row r="28" spans="1:16" x14ac:dyDescent="0.3">
      <c r="A28" s="101">
        <f>IFERROR(INDEX(Lookup!S:S,MATCH(B28,Lookup!T:T,0)),"")</f>
        <v>0</v>
      </c>
      <c r="B28" s="31" t="s">
        <v>2</v>
      </c>
      <c r="C28" s="120" t="s">
        <v>220</v>
      </c>
      <c r="D28" s="120">
        <v>1</v>
      </c>
      <c r="E28" s="32">
        <v>1300</v>
      </c>
      <c r="F28" s="33"/>
      <c r="G28" s="53">
        <f t="shared" si="9"/>
        <v>1300</v>
      </c>
      <c r="H28" s="53">
        <f t="shared" si="0"/>
        <v>0</v>
      </c>
      <c r="I28" s="33">
        <v>0.25</v>
      </c>
      <c r="J28" s="57">
        <f t="shared" si="1"/>
        <v>1805.5555555555554</v>
      </c>
      <c r="K28" s="53">
        <f t="shared" si="2"/>
        <v>1625</v>
      </c>
      <c r="L28" s="53">
        <f t="shared" si="3"/>
        <v>0</v>
      </c>
      <c r="M28" s="57">
        <f t="shared" si="4"/>
        <v>1625</v>
      </c>
      <c r="N28" s="53">
        <f t="shared" si="5"/>
        <v>325</v>
      </c>
      <c r="O28" s="53">
        <f t="shared" si="6"/>
        <v>81.25</v>
      </c>
      <c r="P28" s="58">
        <f t="shared" si="7"/>
        <v>243.75</v>
      </c>
    </row>
    <row r="29" spans="1:16" x14ac:dyDescent="0.3">
      <c r="A29" s="101" t="str">
        <f>IFERROR(INDEX(Lookup!S:S,MATCH(B29,Lookup!T:T,0)),"")</f>
        <v/>
      </c>
      <c r="B29" s="31"/>
      <c r="C29" s="120"/>
      <c r="D29" s="120"/>
      <c r="E29" s="32"/>
      <c r="F29" s="33"/>
      <c r="G29" s="53" t="str">
        <f t="shared" si="9"/>
        <v/>
      </c>
      <c r="H29" s="53" t="str">
        <f t="shared" si="0"/>
        <v/>
      </c>
      <c r="I29" s="33"/>
      <c r="J29" s="57" t="str">
        <f t="shared" si="1"/>
        <v/>
      </c>
      <c r="K29" s="53" t="str">
        <f t="shared" si="2"/>
        <v/>
      </c>
      <c r="L29" s="53" t="str">
        <f t="shared" si="3"/>
        <v/>
      </c>
      <c r="M29" s="57" t="str">
        <f t="shared" si="4"/>
        <v/>
      </c>
      <c r="N29" s="53" t="str">
        <f t="shared" si="5"/>
        <v/>
      </c>
      <c r="O29" s="53" t="str">
        <f t="shared" si="6"/>
        <v/>
      </c>
      <c r="P29" s="58" t="str">
        <f t="shared" si="7"/>
        <v/>
      </c>
    </row>
    <row r="30" spans="1:16" x14ac:dyDescent="0.3">
      <c r="A30" s="101" t="str">
        <f>IFERROR(INDEX(Lookup!S:S,MATCH(B30,Lookup!T:T,0)),"")</f>
        <v/>
      </c>
      <c r="B30" s="31"/>
      <c r="C30" s="120"/>
      <c r="D30" s="120"/>
      <c r="E30" s="32"/>
      <c r="F30" s="33"/>
      <c r="G30" s="53" t="str">
        <f t="shared" si="9"/>
        <v/>
      </c>
      <c r="H30" s="53" t="str">
        <f t="shared" si="0"/>
        <v/>
      </c>
      <c r="I30" s="33"/>
      <c r="J30" s="57" t="str">
        <f t="shared" si="1"/>
        <v/>
      </c>
      <c r="K30" s="53" t="str">
        <f t="shared" si="2"/>
        <v/>
      </c>
      <c r="L30" s="53" t="str">
        <f t="shared" si="3"/>
        <v/>
      </c>
      <c r="M30" s="57" t="str">
        <f t="shared" si="4"/>
        <v/>
      </c>
      <c r="N30" s="53" t="str">
        <f t="shared" si="5"/>
        <v/>
      </c>
      <c r="O30" s="53" t="str">
        <f t="shared" si="6"/>
        <v/>
      </c>
      <c r="P30" s="58" t="str">
        <f t="shared" si="7"/>
        <v/>
      </c>
    </row>
    <row r="31" spans="1:16" x14ac:dyDescent="0.3">
      <c r="A31" s="101" t="str">
        <f>IFERROR(INDEX(Lookup!S:S,MATCH(B31,Lookup!T:T,0)),"")</f>
        <v/>
      </c>
      <c r="B31" s="31"/>
      <c r="C31" s="120"/>
      <c r="D31" s="120"/>
      <c r="E31" s="32"/>
      <c r="F31" s="33"/>
      <c r="G31" s="53" t="str">
        <f t="shared" si="9"/>
        <v/>
      </c>
      <c r="H31" s="53" t="str">
        <f t="shared" si="0"/>
        <v/>
      </c>
      <c r="I31" s="33"/>
      <c r="J31" s="57" t="str">
        <f t="shared" si="1"/>
        <v/>
      </c>
      <c r="K31" s="53" t="str">
        <f t="shared" si="2"/>
        <v/>
      </c>
      <c r="L31" s="53" t="str">
        <f t="shared" si="3"/>
        <v/>
      </c>
      <c r="M31" s="57" t="str">
        <f t="shared" si="4"/>
        <v/>
      </c>
      <c r="N31" s="53" t="str">
        <f t="shared" si="5"/>
        <v/>
      </c>
      <c r="O31" s="53" t="str">
        <f t="shared" si="6"/>
        <v/>
      </c>
      <c r="P31" s="58" t="str">
        <f t="shared" si="7"/>
        <v/>
      </c>
    </row>
    <row r="32" spans="1:16" x14ac:dyDescent="0.3">
      <c r="A32" s="101" t="str">
        <f>IFERROR(INDEX(Lookup!S:S,MATCH(B32,Lookup!T:T,0)),"")</f>
        <v/>
      </c>
      <c r="B32" s="31"/>
      <c r="C32" s="120"/>
      <c r="D32" s="120"/>
      <c r="E32" s="32"/>
      <c r="F32" s="33"/>
      <c r="G32" s="53" t="str">
        <f t="shared" si="9"/>
        <v/>
      </c>
      <c r="H32" s="53" t="str">
        <f t="shared" si="0"/>
        <v/>
      </c>
      <c r="I32" s="33"/>
      <c r="J32" s="57" t="str">
        <f t="shared" si="1"/>
        <v/>
      </c>
      <c r="K32" s="53" t="str">
        <f t="shared" si="2"/>
        <v/>
      </c>
      <c r="L32" s="53" t="str">
        <f t="shared" si="3"/>
        <v/>
      </c>
      <c r="M32" s="57" t="str">
        <f t="shared" si="4"/>
        <v/>
      </c>
      <c r="N32" s="53" t="str">
        <f t="shared" si="5"/>
        <v/>
      </c>
      <c r="O32" s="53" t="str">
        <f t="shared" si="6"/>
        <v/>
      </c>
      <c r="P32" s="58" t="str">
        <f t="shared" si="7"/>
        <v/>
      </c>
    </row>
    <row r="33" spans="1:16" x14ac:dyDescent="0.3">
      <c r="A33" s="101" t="str">
        <f>IFERROR(INDEX(Lookup!S:S,MATCH(B33,Lookup!T:T,0)),"")</f>
        <v/>
      </c>
      <c r="B33" s="31"/>
      <c r="C33" s="120"/>
      <c r="D33" s="120"/>
      <c r="E33" s="32"/>
      <c r="F33" s="33"/>
      <c r="G33" s="53" t="str">
        <f t="shared" si="9"/>
        <v/>
      </c>
      <c r="H33" s="53" t="str">
        <f t="shared" si="0"/>
        <v/>
      </c>
      <c r="I33" s="33"/>
      <c r="J33" s="57" t="str">
        <f t="shared" si="1"/>
        <v/>
      </c>
      <c r="K33" s="53" t="str">
        <f t="shared" si="2"/>
        <v/>
      </c>
      <c r="L33" s="53" t="str">
        <f t="shared" si="3"/>
        <v/>
      </c>
      <c r="M33" s="57" t="str">
        <f t="shared" si="4"/>
        <v/>
      </c>
      <c r="N33" s="53" t="str">
        <f t="shared" si="5"/>
        <v/>
      </c>
      <c r="O33" s="53" t="str">
        <f t="shared" si="6"/>
        <v/>
      </c>
      <c r="P33" s="58" t="str">
        <f t="shared" si="7"/>
        <v/>
      </c>
    </row>
    <row r="34" spans="1:16" x14ac:dyDescent="0.3">
      <c r="A34" s="101" t="str">
        <f>IFERROR(INDEX(Lookup!S:S,MATCH(B34,Lookup!T:T,0)),"")</f>
        <v/>
      </c>
      <c r="B34" s="31"/>
      <c r="C34" s="120"/>
      <c r="D34" s="120"/>
      <c r="E34" s="32"/>
      <c r="F34" s="33"/>
      <c r="G34" s="53" t="str">
        <f t="shared" si="9"/>
        <v/>
      </c>
      <c r="H34" s="53" t="str">
        <f t="shared" si="0"/>
        <v/>
      </c>
      <c r="I34" s="33"/>
      <c r="J34" s="57" t="str">
        <f t="shared" si="1"/>
        <v/>
      </c>
      <c r="K34" s="53" t="str">
        <f t="shared" si="2"/>
        <v/>
      </c>
      <c r="L34" s="53" t="str">
        <f t="shared" si="3"/>
        <v/>
      </c>
      <c r="M34" s="57" t="str">
        <f t="shared" si="4"/>
        <v/>
      </c>
      <c r="N34" s="53" t="str">
        <f t="shared" si="5"/>
        <v/>
      </c>
      <c r="O34" s="53" t="str">
        <f t="shared" si="6"/>
        <v/>
      </c>
      <c r="P34" s="58" t="str">
        <f t="shared" si="7"/>
        <v/>
      </c>
    </row>
    <row r="35" spans="1:16" x14ac:dyDescent="0.3">
      <c r="A35" s="101" t="str">
        <f>IFERROR(INDEX(Lookup!S:S,MATCH(B35,Lookup!T:T,0)),"")</f>
        <v/>
      </c>
      <c r="B35" s="31"/>
      <c r="C35" s="120"/>
      <c r="D35" s="120"/>
      <c r="E35" s="32"/>
      <c r="F35" s="33"/>
      <c r="G35" s="53" t="str">
        <f t="shared" si="9"/>
        <v/>
      </c>
      <c r="H35" s="53" t="str">
        <f t="shared" si="0"/>
        <v/>
      </c>
      <c r="I35" s="33"/>
      <c r="J35" s="57" t="str">
        <f t="shared" si="1"/>
        <v/>
      </c>
      <c r="K35" s="53" t="str">
        <f t="shared" si="2"/>
        <v/>
      </c>
      <c r="L35" s="53" t="str">
        <f t="shared" si="3"/>
        <v/>
      </c>
      <c r="M35" s="57" t="str">
        <f t="shared" si="4"/>
        <v/>
      </c>
      <c r="N35" s="53" t="str">
        <f t="shared" si="5"/>
        <v/>
      </c>
      <c r="O35" s="53" t="str">
        <f t="shared" si="6"/>
        <v/>
      </c>
      <c r="P35" s="58" t="str">
        <f t="shared" si="7"/>
        <v/>
      </c>
    </row>
    <row r="36" spans="1:16" x14ac:dyDescent="0.3">
      <c r="A36" s="101" t="str">
        <f>IFERROR(INDEX(Lookup!S:S,MATCH(B36,Lookup!T:T,0)),"")</f>
        <v/>
      </c>
      <c r="B36" s="31"/>
      <c r="C36" s="120"/>
      <c r="D36" s="120"/>
      <c r="E36" s="32"/>
      <c r="F36" s="33"/>
      <c r="G36" s="53" t="str">
        <f t="shared" si="9"/>
        <v/>
      </c>
      <c r="H36" s="53" t="str">
        <f t="shared" si="0"/>
        <v/>
      </c>
      <c r="I36" s="33"/>
      <c r="J36" s="57" t="str">
        <f t="shared" si="1"/>
        <v/>
      </c>
      <c r="K36" s="53" t="str">
        <f t="shared" si="2"/>
        <v/>
      </c>
      <c r="L36" s="53" t="str">
        <f t="shared" si="3"/>
        <v/>
      </c>
      <c r="M36" s="57" t="str">
        <f t="shared" si="4"/>
        <v/>
      </c>
      <c r="N36" s="53" t="str">
        <f t="shared" si="5"/>
        <v/>
      </c>
      <c r="O36" s="53" t="str">
        <f t="shared" si="6"/>
        <v/>
      </c>
      <c r="P36" s="58" t="str">
        <f t="shared" si="7"/>
        <v/>
      </c>
    </row>
    <row r="37" spans="1:16" x14ac:dyDescent="0.3">
      <c r="A37" s="101" t="str">
        <f>IFERROR(INDEX(Lookup!S:S,MATCH(B37,Lookup!T:T,0)),"")</f>
        <v/>
      </c>
      <c r="B37" s="31"/>
      <c r="C37" s="120"/>
      <c r="D37" s="120"/>
      <c r="E37" s="32"/>
      <c r="F37" s="33"/>
      <c r="G37" s="53" t="str">
        <f t="shared" si="9"/>
        <v/>
      </c>
      <c r="H37" s="53" t="str">
        <f t="shared" si="0"/>
        <v/>
      </c>
      <c r="I37" s="33"/>
      <c r="J37" s="57" t="str">
        <f t="shared" si="1"/>
        <v/>
      </c>
      <c r="K37" s="53" t="str">
        <f t="shared" si="2"/>
        <v/>
      </c>
      <c r="L37" s="53" t="str">
        <f t="shared" si="3"/>
        <v/>
      </c>
      <c r="M37" s="57" t="str">
        <f t="shared" si="4"/>
        <v/>
      </c>
      <c r="N37" s="53" t="str">
        <f t="shared" si="5"/>
        <v/>
      </c>
      <c r="O37" s="53" t="str">
        <f t="shared" si="6"/>
        <v/>
      </c>
      <c r="P37" s="58" t="str">
        <f t="shared" si="7"/>
        <v/>
      </c>
    </row>
    <row r="38" spans="1:16" x14ac:dyDescent="0.3">
      <c r="A38" s="101" t="str">
        <f>IFERROR(INDEX(Lookup!S:S,MATCH(B38,Lookup!T:T,0)),"")</f>
        <v/>
      </c>
      <c r="B38" s="34"/>
      <c r="C38" s="35"/>
      <c r="D38" s="35"/>
      <c r="E38" s="36"/>
      <c r="F38" s="37"/>
      <c r="G38" s="54" t="str">
        <f t="shared" si="9"/>
        <v/>
      </c>
      <c r="H38" s="54" t="str">
        <f t="shared" si="0"/>
        <v/>
      </c>
      <c r="I38" s="37"/>
      <c r="J38" s="59" t="str">
        <f t="shared" si="1"/>
        <v/>
      </c>
      <c r="K38" s="54" t="str">
        <f t="shared" si="2"/>
        <v/>
      </c>
      <c r="L38" s="54" t="str">
        <f t="shared" si="3"/>
        <v/>
      </c>
      <c r="M38" s="59" t="str">
        <f t="shared" si="4"/>
        <v/>
      </c>
      <c r="N38" s="54" t="str">
        <f t="shared" si="5"/>
        <v/>
      </c>
      <c r="O38" s="54" t="str">
        <f t="shared" si="6"/>
        <v/>
      </c>
      <c r="P38" s="60" t="str">
        <f t="shared" si="7"/>
        <v/>
      </c>
    </row>
    <row r="39" spans="1:16" ht="4.5" customHeight="1" x14ac:dyDescent="0.3">
      <c r="A39" s="16" t="str">
        <f>IFERROR(INDEX(#REF!,MATCH(B39,#REF!,0)),"")</f>
        <v/>
      </c>
      <c r="B39" s="16"/>
      <c r="E39" s="18"/>
      <c r="F39" s="38"/>
      <c r="G39" s="18"/>
      <c r="H39" s="18"/>
      <c r="I39" s="38"/>
      <c r="J39" s="18"/>
      <c r="K39" s="18"/>
      <c r="L39" s="18"/>
      <c r="M39" s="18"/>
      <c r="N39" s="18"/>
      <c r="O39" s="18"/>
      <c r="P39" s="39"/>
    </row>
    <row r="40" spans="1:16" x14ac:dyDescent="0.3">
      <c r="A40" s="101"/>
      <c r="B40" s="62" t="s">
        <v>203</v>
      </c>
      <c r="C40" s="63" t="s">
        <v>135</v>
      </c>
      <c r="D40" s="64"/>
      <c r="E40" s="65">
        <f>SUMIF($B$15:$B$39,$B40,E$15:E$39)</f>
        <v>89161</v>
      </c>
      <c r="F40" s="63"/>
      <c r="G40" s="65">
        <f t="shared" ref="G40:H47" si="10">SUMIF($B$15:$B$39,$B40,G$15:G$39)</f>
        <v>62412.7</v>
      </c>
      <c r="H40" s="65">
        <f t="shared" si="10"/>
        <v>0</v>
      </c>
      <c r="I40" s="63"/>
      <c r="J40" s="66">
        <f t="shared" ref="J40:L47" si="11">SUMIF($B$15:$B$39,$B40,J$15:J$39)</f>
        <v>89161.000000000015</v>
      </c>
      <c r="K40" s="65">
        <f t="shared" si="11"/>
        <v>80244.900000000009</v>
      </c>
      <c r="L40" s="65">
        <f t="shared" si="11"/>
        <v>0</v>
      </c>
      <c r="M40" s="66">
        <f t="shared" ref="M40:P47" si="12">SUMIF($B$15:$B$39,$B40,M$15:M$39)</f>
        <v>80244.900000000009</v>
      </c>
      <c r="N40" s="65">
        <f t="shared" si="12"/>
        <v>17832.200000000012</v>
      </c>
      <c r="O40" s="65">
        <f t="shared" si="12"/>
        <v>0</v>
      </c>
      <c r="P40" s="67">
        <f t="shared" si="12"/>
        <v>17832.200000000012</v>
      </c>
    </row>
    <row r="41" spans="1:16" x14ac:dyDescent="0.3">
      <c r="A41" s="101"/>
      <c r="B41" s="68" t="s">
        <v>204</v>
      </c>
      <c r="C41" s="121" t="s">
        <v>135</v>
      </c>
      <c r="D41" s="122"/>
      <c r="E41" s="69">
        <f t="shared" ref="E41:E47" si="13">SUMIF($B$15:$B$39,$B41,E$15:E$39)</f>
        <v>4753</v>
      </c>
      <c r="F41" s="121"/>
      <c r="G41" s="69">
        <f t="shared" si="10"/>
        <v>4663.3999999999996</v>
      </c>
      <c r="H41" s="69">
        <f t="shared" si="10"/>
        <v>0</v>
      </c>
      <c r="I41" s="121"/>
      <c r="J41" s="70">
        <f t="shared" si="11"/>
        <v>6662</v>
      </c>
      <c r="K41" s="69">
        <f t="shared" si="11"/>
        <v>5995.8</v>
      </c>
      <c r="L41" s="69">
        <f t="shared" si="11"/>
        <v>0</v>
      </c>
      <c r="M41" s="70">
        <f t="shared" si="12"/>
        <v>5995.8</v>
      </c>
      <c r="N41" s="69">
        <f t="shared" si="12"/>
        <v>1332.4000000000005</v>
      </c>
      <c r="O41" s="69">
        <f t="shared" si="12"/>
        <v>0</v>
      </c>
      <c r="P41" s="71">
        <f t="shared" si="12"/>
        <v>1332.4000000000005</v>
      </c>
    </row>
    <row r="42" spans="1:16" x14ac:dyDescent="0.3">
      <c r="A42" s="101"/>
      <c r="B42" s="68" t="s">
        <v>205</v>
      </c>
      <c r="C42" s="121" t="s">
        <v>135</v>
      </c>
      <c r="D42" s="122"/>
      <c r="E42" s="69">
        <f t="shared" si="13"/>
        <v>0</v>
      </c>
      <c r="F42" s="121"/>
      <c r="G42" s="69">
        <f t="shared" si="10"/>
        <v>0</v>
      </c>
      <c r="H42" s="69">
        <f t="shared" si="10"/>
        <v>0</v>
      </c>
      <c r="I42" s="121"/>
      <c r="J42" s="70">
        <f t="shared" si="11"/>
        <v>0</v>
      </c>
      <c r="K42" s="69">
        <f t="shared" si="11"/>
        <v>0</v>
      </c>
      <c r="L42" s="69">
        <f t="shared" si="11"/>
        <v>0</v>
      </c>
      <c r="M42" s="70">
        <f t="shared" si="12"/>
        <v>0</v>
      </c>
      <c r="N42" s="69">
        <f t="shared" si="12"/>
        <v>0</v>
      </c>
      <c r="O42" s="69">
        <f t="shared" si="12"/>
        <v>0</v>
      </c>
      <c r="P42" s="71">
        <f t="shared" si="12"/>
        <v>0</v>
      </c>
    </row>
    <row r="43" spans="1:16" x14ac:dyDescent="0.3">
      <c r="A43" s="101"/>
      <c r="B43" s="68" t="s">
        <v>202</v>
      </c>
      <c r="C43" s="121" t="s">
        <v>135</v>
      </c>
      <c r="D43" s="122"/>
      <c r="E43" s="69">
        <f t="shared" si="13"/>
        <v>0</v>
      </c>
      <c r="F43" s="121"/>
      <c r="G43" s="69">
        <f t="shared" si="10"/>
        <v>0</v>
      </c>
      <c r="H43" s="69">
        <f t="shared" si="10"/>
        <v>0</v>
      </c>
      <c r="I43" s="121"/>
      <c r="J43" s="70">
        <f t="shared" si="11"/>
        <v>0</v>
      </c>
      <c r="K43" s="69">
        <f t="shared" si="11"/>
        <v>0</v>
      </c>
      <c r="L43" s="69">
        <f t="shared" si="11"/>
        <v>0</v>
      </c>
      <c r="M43" s="70">
        <f t="shared" si="12"/>
        <v>0</v>
      </c>
      <c r="N43" s="69">
        <f t="shared" si="12"/>
        <v>0</v>
      </c>
      <c r="O43" s="69">
        <f t="shared" si="12"/>
        <v>0</v>
      </c>
      <c r="P43" s="71">
        <f t="shared" si="12"/>
        <v>0</v>
      </c>
    </row>
    <row r="44" spans="1:16" x14ac:dyDescent="0.3">
      <c r="A44" s="101"/>
      <c r="B44" s="68" t="s">
        <v>201</v>
      </c>
      <c r="C44" s="121" t="s">
        <v>135</v>
      </c>
      <c r="D44" s="122"/>
      <c r="E44" s="69">
        <f t="shared" si="13"/>
        <v>0</v>
      </c>
      <c r="F44" s="121"/>
      <c r="G44" s="69">
        <f t="shared" si="10"/>
        <v>0</v>
      </c>
      <c r="H44" s="69">
        <f t="shared" si="10"/>
        <v>0</v>
      </c>
      <c r="I44" s="121"/>
      <c r="J44" s="70">
        <f t="shared" si="11"/>
        <v>0</v>
      </c>
      <c r="K44" s="69">
        <f t="shared" si="11"/>
        <v>0</v>
      </c>
      <c r="L44" s="69">
        <f t="shared" si="11"/>
        <v>0</v>
      </c>
      <c r="M44" s="70">
        <f t="shared" si="12"/>
        <v>0</v>
      </c>
      <c r="N44" s="69">
        <f t="shared" si="12"/>
        <v>0</v>
      </c>
      <c r="O44" s="69">
        <f t="shared" si="12"/>
        <v>0</v>
      </c>
      <c r="P44" s="71">
        <f t="shared" si="12"/>
        <v>0</v>
      </c>
    </row>
    <row r="45" spans="1:16" x14ac:dyDescent="0.3">
      <c r="A45" s="101"/>
      <c r="B45" s="68" t="s">
        <v>1</v>
      </c>
      <c r="C45" s="121" t="s">
        <v>135</v>
      </c>
      <c r="D45" s="122"/>
      <c r="E45" s="69">
        <f t="shared" si="13"/>
        <v>33700</v>
      </c>
      <c r="F45" s="121"/>
      <c r="G45" s="69">
        <f t="shared" si="10"/>
        <v>33700</v>
      </c>
      <c r="H45" s="69">
        <f t="shared" si="10"/>
        <v>0</v>
      </c>
      <c r="I45" s="121"/>
      <c r="J45" s="70">
        <f t="shared" si="11"/>
        <v>46263.888888888883</v>
      </c>
      <c r="K45" s="69">
        <f t="shared" si="11"/>
        <v>41637.5</v>
      </c>
      <c r="L45" s="69">
        <f t="shared" si="11"/>
        <v>0</v>
      </c>
      <c r="M45" s="70">
        <f t="shared" si="12"/>
        <v>41637.5</v>
      </c>
      <c r="N45" s="69">
        <f t="shared" si="12"/>
        <v>7937.5</v>
      </c>
      <c r="O45" s="69">
        <f t="shared" si="12"/>
        <v>2081.875</v>
      </c>
      <c r="P45" s="71">
        <f t="shared" si="12"/>
        <v>5855.625</v>
      </c>
    </row>
    <row r="46" spans="1:16" x14ac:dyDescent="0.3">
      <c r="A46" s="101"/>
      <c r="B46" s="68" t="s">
        <v>2</v>
      </c>
      <c r="C46" s="121" t="s">
        <v>135</v>
      </c>
      <c r="D46" s="122"/>
      <c r="E46" s="69">
        <f t="shared" si="13"/>
        <v>10500</v>
      </c>
      <c r="F46" s="121"/>
      <c r="G46" s="69">
        <f t="shared" si="10"/>
        <v>10500</v>
      </c>
      <c r="H46" s="69">
        <f t="shared" si="10"/>
        <v>0</v>
      </c>
      <c r="I46" s="121"/>
      <c r="J46" s="70">
        <f t="shared" si="11"/>
        <v>14291.666666666666</v>
      </c>
      <c r="K46" s="69">
        <f t="shared" si="11"/>
        <v>12862.5</v>
      </c>
      <c r="L46" s="69">
        <f t="shared" si="11"/>
        <v>0</v>
      </c>
      <c r="M46" s="70">
        <f t="shared" si="12"/>
        <v>12862.5</v>
      </c>
      <c r="N46" s="69">
        <f t="shared" si="12"/>
        <v>2362.5</v>
      </c>
      <c r="O46" s="69">
        <f t="shared" si="12"/>
        <v>643.125</v>
      </c>
      <c r="P46" s="71">
        <f t="shared" si="12"/>
        <v>1719.375</v>
      </c>
    </row>
    <row r="47" spans="1:16" x14ac:dyDescent="0.3">
      <c r="A47" s="101"/>
      <c r="B47" s="72" t="s">
        <v>3</v>
      </c>
      <c r="C47" s="73" t="s">
        <v>135</v>
      </c>
      <c r="D47" s="74"/>
      <c r="E47" s="75">
        <f t="shared" si="13"/>
        <v>44550</v>
      </c>
      <c r="F47" s="73"/>
      <c r="G47" s="75">
        <f t="shared" si="10"/>
        <v>44550</v>
      </c>
      <c r="H47" s="75">
        <f t="shared" si="10"/>
        <v>0</v>
      </c>
      <c r="I47" s="73"/>
      <c r="J47" s="76">
        <f t="shared" si="11"/>
        <v>60277.777777777781</v>
      </c>
      <c r="K47" s="75">
        <f t="shared" si="11"/>
        <v>54250</v>
      </c>
      <c r="L47" s="75">
        <f t="shared" si="11"/>
        <v>0</v>
      </c>
      <c r="M47" s="76">
        <f t="shared" si="12"/>
        <v>54250</v>
      </c>
      <c r="N47" s="75">
        <f t="shared" si="12"/>
        <v>9700</v>
      </c>
      <c r="O47" s="75">
        <f t="shared" si="12"/>
        <v>2712.5</v>
      </c>
      <c r="P47" s="77">
        <f t="shared" si="12"/>
        <v>6987.5</v>
      </c>
    </row>
    <row r="48" spans="1:16" ht="4.5" customHeight="1" x14ac:dyDescent="0.3">
      <c r="A48" s="16"/>
      <c r="B48" s="16"/>
      <c r="P48" s="17"/>
    </row>
    <row r="49" spans="1:16" x14ac:dyDescent="0.3">
      <c r="A49" s="101"/>
      <c r="B49" s="40" t="s">
        <v>163</v>
      </c>
      <c r="C49" s="41"/>
      <c r="D49" s="41"/>
      <c r="E49" s="42">
        <v>8700</v>
      </c>
      <c r="F49" s="41"/>
      <c r="G49" s="43">
        <f>E49</f>
        <v>8700</v>
      </c>
      <c r="H49" s="81"/>
      <c r="I49" s="30"/>
      <c r="J49" s="82">
        <f>IF(P9="AEPA",E49,E49*(1+I49))</f>
        <v>8700</v>
      </c>
      <c r="K49" s="83">
        <f>J49</f>
        <v>8700</v>
      </c>
      <c r="L49" s="81"/>
      <c r="M49" s="84">
        <f>K49</f>
        <v>8700</v>
      </c>
      <c r="N49" s="83">
        <f>M49-G49-H49</f>
        <v>0</v>
      </c>
      <c r="O49" s="106"/>
      <c r="P49" s="107">
        <f>N49-O49</f>
        <v>0</v>
      </c>
    </row>
    <row r="50" spans="1:16" x14ac:dyDescent="0.3">
      <c r="A50" s="101"/>
      <c r="B50" s="44" t="s">
        <v>43</v>
      </c>
      <c r="C50" s="123"/>
      <c r="D50" s="123"/>
      <c r="E50" s="124">
        <f>IF(D12="state",0,SUM(M40:M47)*C3)</f>
        <v>0</v>
      </c>
      <c r="F50" s="125"/>
      <c r="G50" s="124">
        <f>E50</f>
        <v>0</v>
      </c>
      <c r="H50" s="126"/>
      <c r="I50" s="125"/>
      <c r="J50" s="85">
        <f>G50</f>
        <v>0</v>
      </c>
      <c r="K50" s="78">
        <f t="shared" ref="K50:K53" si="14">J50</f>
        <v>0</v>
      </c>
      <c r="L50" s="126"/>
      <c r="M50" s="127">
        <f>E50</f>
        <v>0</v>
      </c>
      <c r="N50" s="78">
        <f>M50-E50-H50</f>
        <v>0</v>
      </c>
      <c r="O50" s="126"/>
      <c r="P50" s="108">
        <f>N50-O50</f>
        <v>0</v>
      </c>
    </row>
    <row r="51" spans="1:16" x14ac:dyDescent="0.3">
      <c r="A51" s="101"/>
      <c r="B51" s="44" t="s">
        <v>136</v>
      </c>
      <c r="C51" s="46">
        <v>0</v>
      </c>
      <c r="D51" s="123"/>
      <c r="E51" s="78">
        <f>IF(D12="state",0,C51*0.02*SUM(M49:M50,M40:M47,M52:M53))</f>
        <v>0</v>
      </c>
      <c r="F51" s="125"/>
      <c r="G51" s="124">
        <f>E51</f>
        <v>0</v>
      </c>
      <c r="H51" s="126"/>
      <c r="I51" s="125"/>
      <c r="J51" s="85">
        <f>G51</f>
        <v>0</v>
      </c>
      <c r="K51" s="78">
        <f t="shared" si="14"/>
        <v>0</v>
      </c>
      <c r="L51" s="126"/>
      <c r="M51" s="127">
        <f>E51</f>
        <v>0</v>
      </c>
      <c r="N51" s="78">
        <f>M51-E51-H51</f>
        <v>0</v>
      </c>
      <c r="O51" s="126"/>
      <c r="P51" s="108">
        <f>N51-O51</f>
        <v>0</v>
      </c>
    </row>
    <row r="52" spans="1:16" x14ac:dyDescent="0.3">
      <c r="A52" s="101"/>
      <c r="B52" s="44" t="s">
        <v>164</v>
      </c>
      <c r="C52" s="47">
        <v>0</v>
      </c>
      <c r="D52" s="123"/>
      <c r="E52" s="45">
        <f>IF(D12="state",0,C52*SUM(M40:M45,M49:M50))</f>
        <v>0</v>
      </c>
      <c r="F52" s="125"/>
      <c r="G52" s="124">
        <f>E52</f>
        <v>0</v>
      </c>
      <c r="H52" s="126"/>
      <c r="I52" s="125"/>
      <c r="J52" s="85">
        <f>G52</f>
        <v>0</v>
      </c>
      <c r="K52" s="78">
        <f t="shared" ref="K52" si="15">J52</f>
        <v>0</v>
      </c>
      <c r="L52" s="126"/>
      <c r="M52" s="127">
        <f>E52</f>
        <v>0</v>
      </c>
      <c r="N52" s="78">
        <f>M52-E52-H52</f>
        <v>0</v>
      </c>
      <c r="O52" s="126"/>
      <c r="P52" s="108">
        <f>N52-O52</f>
        <v>0</v>
      </c>
    </row>
    <row r="53" spans="1:16" x14ac:dyDescent="0.3">
      <c r="A53" s="101"/>
      <c r="B53" s="48" t="s">
        <v>165</v>
      </c>
      <c r="C53" s="47">
        <v>0</v>
      </c>
      <c r="D53" s="49"/>
      <c r="E53" s="50">
        <f>IF(D12="state",0,C53*SUM(G40:H45,E46:E47))</f>
        <v>0</v>
      </c>
      <c r="F53" s="51"/>
      <c r="G53" s="79">
        <f>E53</f>
        <v>0</v>
      </c>
      <c r="H53" s="80"/>
      <c r="I53" s="51"/>
      <c r="J53" s="86">
        <f>G53</f>
        <v>0</v>
      </c>
      <c r="K53" s="87">
        <f t="shared" si="14"/>
        <v>0</v>
      </c>
      <c r="L53" s="80"/>
      <c r="M53" s="88">
        <f>E53</f>
        <v>0</v>
      </c>
      <c r="N53" s="87">
        <f>M53-E53-H53</f>
        <v>0</v>
      </c>
      <c r="O53" s="80"/>
      <c r="P53" s="109">
        <f>N53-O53</f>
        <v>0</v>
      </c>
    </row>
    <row r="54" spans="1:16" ht="4.5" customHeight="1" x14ac:dyDescent="0.3">
      <c r="A54" s="16"/>
      <c r="B54" s="16"/>
      <c r="P54" s="17"/>
    </row>
    <row r="55" spans="1:16" x14ac:dyDescent="0.3">
      <c r="A55" s="101"/>
      <c r="B55" s="89" t="s">
        <v>44</v>
      </c>
      <c r="C55" s="90"/>
      <c r="D55" s="90"/>
      <c r="E55" s="91">
        <f>SUM(E40:E47,E49:E53)</f>
        <v>191364</v>
      </c>
      <c r="F55" s="90"/>
      <c r="G55" s="91">
        <f>SUM(G40:G47,G49:G53)</f>
        <v>164526.09999999998</v>
      </c>
      <c r="H55" s="91">
        <f>SUM(H40:H47,H49:H53)</f>
        <v>0</v>
      </c>
      <c r="I55" s="91"/>
      <c r="J55" s="92">
        <f t="shared" ref="J55:P55" si="16">SUM(J40:J47,J49:J53)</f>
        <v>225356.33333333334</v>
      </c>
      <c r="K55" s="91">
        <f t="shared" si="16"/>
        <v>203690.7</v>
      </c>
      <c r="L55" s="91">
        <f t="shared" si="16"/>
        <v>0</v>
      </c>
      <c r="M55" s="92">
        <f t="shared" si="16"/>
        <v>203690.7</v>
      </c>
      <c r="N55" s="91">
        <f t="shared" si="16"/>
        <v>39164.600000000013</v>
      </c>
      <c r="O55" s="91">
        <f t="shared" si="16"/>
        <v>5437.5</v>
      </c>
      <c r="P55" s="93">
        <f t="shared" si="16"/>
        <v>33727.100000000013</v>
      </c>
    </row>
    <row r="56" spans="1:16" ht="4.5" customHeight="1" x14ac:dyDescent="0.3">
      <c r="A56" s="105"/>
      <c r="B56" s="105"/>
      <c r="C56" s="94"/>
      <c r="D56" s="94"/>
      <c r="E56" s="94"/>
      <c r="F56" s="94"/>
      <c r="G56" s="94"/>
      <c r="H56" s="94"/>
      <c r="I56" s="94"/>
      <c r="J56" s="94"/>
      <c r="K56" s="94"/>
      <c r="L56" s="94"/>
      <c r="M56" s="94"/>
      <c r="N56" s="94"/>
      <c r="O56" s="94"/>
      <c r="P56" s="95"/>
    </row>
    <row r="57" spans="1:16" ht="12" customHeight="1" x14ac:dyDescent="0.3">
      <c r="A57"/>
      <c r="B57" s="128" t="s">
        <v>143</v>
      </c>
      <c r="C57"/>
      <c r="D57"/>
      <c r="E57"/>
      <c r="F57"/>
      <c r="G57"/>
      <c r="H57"/>
      <c r="I57"/>
      <c r="J57"/>
      <c r="K57"/>
      <c r="L57"/>
      <c r="M57"/>
      <c r="N57"/>
      <c r="O57"/>
      <c r="P57" s="103"/>
    </row>
    <row r="58" spans="1:16" ht="12" customHeight="1" x14ac:dyDescent="0.3">
      <c r="A58"/>
      <c r="B58" s="128" t="s">
        <v>142</v>
      </c>
      <c r="C58"/>
      <c r="D58"/>
      <c r="E58"/>
      <c r="F58"/>
      <c r="G58"/>
      <c r="H58"/>
      <c r="I58"/>
      <c r="J58"/>
      <c r="K58"/>
      <c r="L58"/>
      <c r="M58"/>
      <c r="N58"/>
      <c r="O58"/>
      <c r="P58" s="103"/>
    </row>
    <row r="59" spans="1:16" ht="15" customHeight="1" x14ac:dyDescent="0.3">
      <c r="A59"/>
      <c r="B59" s="101"/>
      <c r="C59"/>
      <c r="D59"/>
      <c r="E59"/>
      <c r="F59"/>
      <c r="G59"/>
      <c r="H59"/>
      <c r="I59"/>
      <c r="J59"/>
      <c r="K59"/>
      <c r="L59"/>
      <c r="M59"/>
      <c r="N59"/>
      <c r="O59"/>
      <c r="P59" s="103"/>
    </row>
    <row r="60" spans="1:16" ht="15" customHeight="1" x14ac:dyDescent="0.3">
      <c r="A60"/>
      <c r="B60" s="129"/>
      <c r="C60" s="96"/>
      <c r="D60" s="96"/>
      <c r="E60" s="110"/>
      <c r="F60" s="96"/>
      <c r="G60" s="96"/>
      <c r="H60" s="110"/>
      <c r="I60" s="111"/>
      <c r="J60" s="96"/>
      <c r="K60" s="96"/>
      <c r="L60" s="96"/>
      <c r="M60" s="96"/>
      <c r="N60" s="110"/>
      <c r="O60" s="96"/>
      <c r="P60" s="130"/>
    </row>
    <row r="61" spans="1:16" ht="15" customHeight="1" x14ac:dyDescent="0.3">
      <c r="A61"/>
      <c r="B61" s="131" t="s">
        <v>137</v>
      </c>
      <c r="C61" s="110"/>
      <c r="D61" s="110"/>
      <c r="E61" s="110"/>
      <c r="F61" s="110" t="s">
        <v>25</v>
      </c>
      <c r="G61" s="110"/>
      <c r="H61" s="110"/>
      <c r="I61" s="111"/>
      <c r="J61" s="110" t="s">
        <v>138</v>
      </c>
      <c r="K61" s="110"/>
      <c r="L61" s="110"/>
      <c r="M61" s="110"/>
      <c r="N61" s="110"/>
      <c r="O61" s="110" t="s">
        <v>25</v>
      </c>
      <c r="P61" s="132"/>
    </row>
    <row r="62" spans="1:16" ht="15" customHeight="1" x14ac:dyDescent="0.3">
      <c r="A62"/>
      <c r="B62" s="131"/>
      <c r="C62" s="110"/>
      <c r="D62" s="110"/>
      <c r="E62" s="110"/>
      <c r="F62" s="110"/>
      <c r="G62" s="110"/>
      <c r="H62" s="110"/>
      <c r="I62" s="111"/>
      <c r="J62" s="110"/>
      <c r="K62" s="110"/>
      <c r="L62" s="110"/>
      <c r="M62" s="110"/>
      <c r="N62" s="110"/>
      <c r="O62" s="110"/>
      <c r="P62" s="132"/>
    </row>
    <row r="63" spans="1:16" ht="15" customHeight="1" x14ac:dyDescent="0.3">
      <c r="A63"/>
      <c r="B63" s="129" t="s">
        <v>140</v>
      </c>
      <c r="C63" s="96"/>
      <c r="D63" s="96"/>
      <c r="E63" s="110"/>
      <c r="F63" s="110"/>
      <c r="G63" s="110"/>
      <c r="H63" s="110"/>
      <c r="I63" s="111"/>
      <c r="J63" s="96"/>
      <c r="K63" s="96"/>
      <c r="L63" s="96"/>
      <c r="M63" s="96"/>
      <c r="N63" s="110"/>
      <c r="O63" s="110"/>
      <c r="P63" s="132"/>
    </row>
    <row r="64" spans="1:16" ht="15" customHeight="1" x14ac:dyDescent="0.3">
      <c r="A64"/>
      <c r="B64" s="133" t="s">
        <v>139</v>
      </c>
      <c r="C64" s="134"/>
      <c r="D64" s="134"/>
      <c r="E64" s="134"/>
      <c r="F64" s="134"/>
      <c r="G64" s="134"/>
      <c r="H64" s="134"/>
      <c r="I64" s="135"/>
      <c r="J64" s="134" t="s">
        <v>141</v>
      </c>
      <c r="K64" s="134"/>
      <c r="L64" s="134"/>
      <c r="M64" s="134"/>
      <c r="N64" s="134"/>
      <c r="O64" s="134"/>
      <c r="P64" s="136"/>
    </row>
  </sheetData>
  <sheetProtection algorithmName="SHA-512" hashValue="3wDPHcFqggETDz4/vLmmkc6IkdHq4RXWZYTmqPj5JEOmkQ/qouz5jv033j2dut1Cf3cjY6Wun/QGN5WpCQJYmQ==" saltValue="PRqQy49S99vLzSxhSuSEDA==" spinCount="100000" sheet="1" objects="1" scenarios="1"/>
  <mergeCells count="6">
    <mergeCell ref="J9:L9"/>
    <mergeCell ref="J10:L10"/>
    <mergeCell ref="J11:L11"/>
    <mergeCell ref="C9:E9"/>
    <mergeCell ref="C10:E10"/>
    <mergeCell ref="C11:E11"/>
  </mergeCells>
  <conditionalFormatting sqref="F15:F38">
    <cfRule type="expression" dxfId="15" priority="17">
      <formula>$A15=1</formula>
    </cfRule>
  </conditionalFormatting>
  <conditionalFormatting sqref="I15:I38">
    <cfRule type="expression" dxfId="14" priority="14">
      <formula>$A15=0</formula>
    </cfRule>
  </conditionalFormatting>
  <conditionalFormatting sqref="H9">
    <cfRule type="expression" dxfId="13" priority="13">
      <formula>$D$12="IN"</formula>
    </cfRule>
  </conditionalFormatting>
  <conditionalFormatting sqref="G9">
    <cfRule type="expression" dxfId="12" priority="11">
      <formula>$D$12="IN"</formula>
    </cfRule>
  </conditionalFormatting>
  <conditionalFormatting sqref="B60:P64">
    <cfRule type="expression" dxfId="11" priority="10">
      <formula>$P$10&lt;&gt;""</formula>
    </cfRule>
  </conditionalFormatting>
  <conditionalFormatting sqref="B60:D60">
    <cfRule type="expression" dxfId="10" priority="9">
      <formula>$P$10&lt;&gt;""</formula>
    </cfRule>
  </conditionalFormatting>
  <conditionalFormatting sqref="F60:G60">
    <cfRule type="expression" dxfId="9" priority="8">
      <formula>$P$10&lt;&gt;""</formula>
    </cfRule>
  </conditionalFormatting>
  <conditionalFormatting sqref="J60:M60">
    <cfRule type="expression" dxfId="8" priority="7">
      <formula>$P$10&lt;&gt;""</formula>
    </cfRule>
  </conditionalFormatting>
  <conditionalFormatting sqref="O60:P60">
    <cfRule type="expression" dxfId="7" priority="6">
      <formula>$P$10&lt;&gt;""</formula>
    </cfRule>
  </conditionalFormatting>
  <conditionalFormatting sqref="B63:D63">
    <cfRule type="expression" dxfId="6" priority="5">
      <formula>$P$10&lt;&gt;""</formula>
    </cfRule>
  </conditionalFormatting>
  <conditionalFormatting sqref="J63:M63">
    <cfRule type="expression" dxfId="5" priority="4">
      <formula>$P$10&lt;&gt;""</formula>
    </cfRule>
  </conditionalFormatting>
  <conditionalFormatting sqref="C51">
    <cfRule type="expression" dxfId="4" priority="3">
      <formula>$C$5=1</formula>
    </cfRule>
  </conditionalFormatting>
  <conditionalFormatting sqref="C52">
    <cfRule type="expression" dxfId="3" priority="2">
      <formula>$C$6=1</formula>
    </cfRule>
  </conditionalFormatting>
  <conditionalFormatting sqref="C53">
    <cfRule type="expression" dxfId="2" priority="1">
      <formula>$C$7=1</formula>
    </cfRule>
  </conditionalFormatting>
  <pageMargins left="0.25" right="0.25" top="0.5" bottom="0.5" header="0.3" footer="0.3"/>
  <pageSetup scale="68" fitToHeight="0" orientation="landscape" r:id="rId1"/>
  <headerFooter>
    <oddHeader>&amp;L&amp;"-,Bold Italic"&amp;14CONTRACT TRACKER</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CACCFB98-5DA2-463D-9CB4-2D4392F38C0E}">
          <x14:formula1>
            <xm:f>Lookup!$R$2:$R$3</xm:f>
          </x14:formula1>
          <xm:sqref>H9</xm:sqref>
        </x14:dataValidation>
        <x14:dataValidation type="list" allowBlank="1" showInputMessage="1" showErrorMessage="1" xr:uid="{CD66D386-28BF-48EA-A37C-419D81F094BD}">
          <x14:formula1>
            <xm:f>Lookup!$P$2:$P$4</xm:f>
          </x14:formula1>
          <xm:sqref>P9</xm:sqref>
        </x14:dataValidation>
        <x14:dataValidation type="list" allowBlank="1" showInputMessage="1" showErrorMessage="1" xr:uid="{996876D9-E4D5-4D53-8F0C-E12F5F95779C}">
          <x14:formula1>
            <xm:f>Lookup!$O$2:$O$19</xm:f>
          </x14:formula1>
          <xm:sqref>P12</xm:sqref>
        </x14:dataValidation>
        <x14:dataValidation type="list" allowBlank="1" showInputMessage="1" showErrorMessage="1" xr:uid="{0443392C-6427-46B8-981F-07FD12180A17}">
          <x14:formula1>
            <xm:f>Lookup!$D$1:$D$52</xm:f>
          </x14:formula1>
          <xm:sqref>K12 D12</xm:sqref>
        </x14:dataValidation>
        <x14:dataValidation type="list" allowBlank="1" showInputMessage="1" showErrorMessage="1" xr:uid="{73867DF6-D5BC-4FDB-949E-2F564C4C8FB0}">
          <x14:formula1>
            <xm:f>Lookup!$T$2:$T$10</xm:f>
          </x14:formula1>
          <xm:sqref>B15:B38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9BA3-5DFA-4E44-A62D-1752089596F2}">
  <dimension ref="A1:T53"/>
  <sheetViews>
    <sheetView workbookViewId="0">
      <pane xSplit="4" ySplit="1" topLeftCell="E2" activePane="bottomRight" state="frozen"/>
      <selection pane="topRight" activeCell="E1" sqref="E1"/>
      <selection pane="bottomLeft" activeCell="A3" sqref="A3"/>
      <selection pane="bottomRight" activeCell="S10" sqref="S10:T10"/>
    </sheetView>
  </sheetViews>
  <sheetFormatPr defaultRowHeight="14.4" x14ac:dyDescent="0.3"/>
  <cols>
    <col min="1" max="1" width="8.44140625" bestFit="1" customWidth="1"/>
    <col min="2" max="2" width="11.88671875" bestFit="1" customWidth="1"/>
    <col min="3" max="3" width="7" bestFit="1" customWidth="1"/>
    <col min="4" max="4" width="6.33203125" bestFit="1" customWidth="1"/>
    <col min="5" max="5" width="15.6640625" customWidth="1"/>
    <col min="6" max="6" width="15.88671875" customWidth="1"/>
    <col min="7" max="7" width="16" customWidth="1"/>
    <col min="8" max="8" width="8.88671875" customWidth="1"/>
    <col min="9" max="9" width="14" customWidth="1"/>
    <col min="10" max="10" width="14.109375" customWidth="1"/>
    <col min="11" max="11" width="19.44140625" customWidth="1"/>
    <col min="12" max="12" width="10.5546875" customWidth="1"/>
    <col min="13" max="13" width="12.6640625" bestFit="1" customWidth="1"/>
    <col min="16" max="16" width="10.5546875" bestFit="1" customWidth="1"/>
    <col min="17" max="17" width="14.109375" bestFit="1" customWidth="1"/>
    <col min="19" max="19" width="2" bestFit="1" customWidth="1"/>
    <col min="20" max="20" width="21.5546875" bestFit="1" customWidth="1"/>
  </cols>
  <sheetData>
    <row r="1" spans="1:20" x14ac:dyDescent="0.3">
      <c r="A1" t="s">
        <v>7</v>
      </c>
      <c r="B1" t="s">
        <v>8</v>
      </c>
      <c r="C1" t="s">
        <v>60</v>
      </c>
      <c r="D1" t="s">
        <v>9</v>
      </c>
      <c r="E1" t="s">
        <v>10</v>
      </c>
      <c r="F1" t="s">
        <v>11</v>
      </c>
      <c r="G1" t="s">
        <v>12</v>
      </c>
      <c r="H1" t="s">
        <v>13</v>
      </c>
      <c r="I1" t="s">
        <v>14</v>
      </c>
      <c r="J1" t="s">
        <v>15</v>
      </c>
      <c r="K1" t="s">
        <v>23</v>
      </c>
      <c r="L1" t="s">
        <v>42</v>
      </c>
      <c r="M1" t="s">
        <v>132</v>
      </c>
      <c r="O1" t="s">
        <v>93</v>
      </c>
      <c r="P1" t="s">
        <v>27</v>
      </c>
      <c r="Q1" t="s">
        <v>97</v>
      </c>
      <c r="R1" t="s">
        <v>8</v>
      </c>
    </row>
    <row r="2" spans="1:20" x14ac:dyDescent="0.3">
      <c r="A2" t="str">
        <f>B2&amp;D2</f>
        <v>AK</v>
      </c>
      <c r="D2" t="s">
        <v>99</v>
      </c>
      <c r="O2" t="s">
        <v>74</v>
      </c>
      <c r="P2" t="s">
        <v>94</v>
      </c>
      <c r="Q2" s="2">
        <v>0.02</v>
      </c>
      <c r="R2" t="s">
        <v>16</v>
      </c>
      <c r="S2">
        <v>1</v>
      </c>
      <c r="T2" t="s">
        <v>203</v>
      </c>
    </row>
    <row r="3" spans="1:20" x14ac:dyDescent="0.3">
      <c r="A3" t="str">
        <f t="shared" ref="A3:A52" si="0">B3&amp;D3</f>
        <v>AL</v>
      </c>
      <c r="D3" t="s">
        <v>98</v>
      </c>
      <c r="O3" t="s">
        <v>75</v>
      </c>
      <c r="P3" t="s">
        <v>95</v>
      </c>
      <c r="Q3" s="2">
        <v>0.03</v>
      </c>
      <c r="R3" t="s">
        <v>18</v>
      </c>
      <c r="S3">
        <v>1</v>
      </c>
      <c r="T3" t="s">
        <v>204</v>
      </c>
    </row>
    <row r="4" spans="1:20" x14ac:dyDescent="0.3">
      <c r="A4" t="str">
        <f t="shared" si="0"/>
        <v>AR</v>
      </c>
      <c r="D4" t="s">
        <v>101</v>
      </c>
      <c r="O4" t="s">
        <v>76</v>
      </c>
      <c r="P4" t="s">
        <v>96</v>
      </c>
      <c r="Q4" s="2">
        <v>7.4999999999999997E-3</v>
      </c>
      <c r="S4">
        <v>1</v>
      </c>
      <c r="T4" t="s">
        <v>205</v>
      </c>
    </row>
    <row r="5" spans="1:20" x14ac:dyDescent="0.3">
      <c r="A5" t="str">
        <f t="shared" si="0"/>
        <v>AZ</v>
      </c>
      <c r="D5" t="s">
        <v>100</v>
      </c>
      <c r="O5" t="s">
        <v>77</v>
      </c>
      <c r="S5">
        <v>1</v>
      </c>
      <c r="T5" t="s">
        <v>202</v>
      </c>
    </row>
    <row r="6" spans="1:20" x14ac:dyDescent="0.3">
      <c r="A6" t="str">
        <f t="shared" si="0"/>
        <v>CA</v>
      </c>
      <c r="C6" s="5" t="s">
        <v>62</v>
      </c>
      <c r="D6" s="4" t="s">
        <v>45</v>
      </c>
      <c r="E6" s="2">
        <v>0.02</v>
      </c>
      <c r="F6" s="2">
        <v>0</v>
      </c>
      <c r="G6" s="2">
        <v>0</v>
      </c>
      <c r="H6" s="1">
        <v>0</v>
      </c>
      <c r="I6" s="1">
        <v>1</v>
      </c>
      <c r="J6" s="1">
        <v>0</v>
      </c>
      <c r="K6" s="1">
        <v>0</v>
      </c>
      <c r="L6" s="3">
        <v>1</v>
      </c>
      <c r="O6" t="s">
        <v>78</v>
      </c>
      <c r="S6">
        <v>0</v>
      </c>
      <c r="T6" t="s">
        <v>201</v>
      </c>
    </row>
    <row r="7" spans="1:20" x14ac:dyDescent="0.3">
      <c r="A7" t="str">
        <f t="shared" si="0"/>
        <v>CO</v>
      </c>
      <c r="C7" s="6">
        <v>7</v>
      </c>
      <c r="D7" s="4" t="s">
        <v>46</v>
      </c>
      <c r="E7" s="2">
        <v>0.02</v>
      </c>
      <c r="F7" s="2">
        <v>0.02</v>
      </c>
      <c r="G7" s="2">
        <v>0</v>
      </c>
      <c r="H7" s="1">
        <v>0</v>
      </c>
      <c r="I7" s="1">
        <v>0</v>
      </c>
      <c r="J7" s="1">
        <v>0</v>
      </c>
      <c r="K7" s="1">
        <v>0</v>
      </c>
      <c r="L7" s="1">
        <v>0</v>
      </c>
      <c r="O7" t="s">
        <v>79</v>
      </c>
      <c r="S7">
        <v>0</v>
      </c>
      <c r="T7" t="s">
        <v>1</v>
      </c>
    </row>
    <row r="8" spans="1:20" x14ac:dyDescent="0.3">
      <c r="A8" t="str">
        <f t="shared" si="0"/>
        <v>CT</v>
      </c>
      <c r="C8" s="5" t="s">
        <v>63</v>
      </c>
      <c r="D8" s="4" t="s">
        <v>47</v>
      </c>
      <c r="E8" s="2">
        <v>0.02</v>
      </c>
      <c r="F8" s="2">
        <v>0</v>
      </c>
      <c r="G8" s="2">
        <v>0</v>
      </c>
      <c r="H8" s="1">
        <v>0</v>
      </c>
      <c r="I8" s="1">
        <v>0</v>
      </c>
      <c r="J8" s="1">
        <v>0</v>
      </c>
      <c r="K8" s="1">
        <v>1</v>
      </c>
      <c r="L8" s="1">
        <v>0</v>
      </c>
      <c r="O8" t="s">
        <v>80</v>
      </c>
      <c r="S8">
        <v>0</v>
      </c>
      <c r="T8" t="s">
        <v>2</v>
      </c>
    </row>
    <row r="9" spans="1:20" x14ac:dyDescent="0.3">
      <c r="A9" t="str">
        <f t="shared" si="0"/>
        <v>DC</v>
      </c>
      <c r="D9" t="s">
        <v>103</v>
      </c>
      <c r="O9" t="s">
        <v>81</v>
      </c>
      <c r="S9">
        <v>0</v>
      </c>
      <c r="T9" t="s">
        <v>3</v>
      </c>
    </row>
    <row r="10" spans="1:20" x14ac:dyDescent="0.3">
      <c r="A10" t="str">
        <f t="shared" si="0"/>
        <v>DE</v>
      </c>
      <c r="D10" t="s">
        <v>102</v>
      </c>
      <c r="O10" t="s">
        <v>82</v>
      </c>
    </row>
    <row r="11" spans="1:20" x14ac:dyDescent="0.3">
      <c r="A11" t="str">
        <f t="shared" si="0"/>
        <v>FL</v>
      </c>
      <c r="C11" s="5" t="s">
        <v>64</v>
      </c>
      <c r="D11" s="4" t="s">
        <v>48</v>
      </c>
      <c r="E11" s="2">
        <v>0.02</v>
      </c>
      <c r="F11" s="2">
        <v>0.02</v>
      </c>
      <c r="G11" s="2">
        <v>0</v>
      </c>
      <c r="H11" s="1">
        <v>0</v>
      </c>
      <c r="I11" s="1">
        <v>0</v>
      </c>
      <c r="J11" s="1">
        <v>0</v>
      </c>
      <c r="K11" s="1">
        <v>1</v>
      </c>
      <c r="L11" s="1">
        <v>0</v>
      </c>
      <c r="O11" t="s">
        <v>83</v>
      </c>
    </row>
    <row r="12" spans="1:20" x14ac:dyDescent="0.3">
      <c r="A12" t="str">
        <f t="shared" si="0"/>
        <v>GA</v>
      </c>
      <c r="C12" s="5" t="s">
        <v>65</v>
      </c>
      <c r="D12" s="4" t="s">
        <v>49</v>
      </c>
      <c r="E12" s="2">
        <v>0.02</v>
      </c>
      <c r="F12" s="2">
        <v>0</v>
      </c>
      <c r="G12" s="2">
        <v>0</v>
      </c>
      <c r="H12" s="1">
        <v>0</v>
      </c>
      <c r="I12" s="1">
        <v>0</v>
      </c>
      <c r="J12" s="1">
        <v>0</v>
      </c>
      <c r="K12" s="1">
        <v>1</v>
      </c>
      <c r="L12" s="1">
        <v>0</v>
      </c>
      <c r="O12" t="s">
        <v>84</v>
      </c>
    </row>
    <row r="13" spans="1:20" x14ac:dyDescent="0.3">
      <c r="A13" t="str">
        <f t="shared" si="0"/>
        <v>HI</v>
      </c>
      <c r="D13" t="s">
        <v>104</v>
      </c>
      <c r="I13" t="s">
        <v>131</v>
      </c>
      <c r="O13" t="s">
        <v>85</v>
      </c>
    </row>
    <row r="14" spans="1:20" x14ac:dyDescent="0.3">
      <c r="A14" t="str">
        <f t="shared" si="0"/>
        <v>IA</v>
      </c>
      <c r="C14" s="6">
        <v>17</v>
      </c>
      <c r="D14" s="4" t="s">
        <v>50</v>
      </c>
      <c r="E14" s="2">
        <v>0.02</v>
      </c>
      <c r="F14" s="2">
        <v>0</v>
      </c>
      <c r="G14" s="2">
        <v>0</v>
      </c>
      <c r="H14" s="1">
        <v>0</v>
      </c>
      <c r="I14" s="1">
        <v>0</v>
      </c>
      <c r="J14" s="1">
        <v>0</v>
      </c>
      <c r="K14" s="1">
        <v>0</v>
      </c>
      <c r="L14" s="1">
        <v>0</v>
      </c>
      <c r="O14" t="s">
        <v>86</v>
      </c>
    </row>
    <row r="15" spans="1:20" x14ac:dyDescent="0.3">
      <c r="A15" t="str">
        <f t="shared" si="0"/>
        <v>ID</v>
      </c>
      <c r="D15" t="s">
        <v>105</v>
      </c>
      <c r="O15" t="s">
        <v>87</v>
      </c>
    </row>
    <row r="16" spans="1:20" x14ac:dyDescent="0.3">
      <c r="A16" t="str">
        <f t="shared" si="0"/>
        <v>IL</v>
      </c>
      <c r="D16" t="s">
        <v>106</v>
      </c>
      <c r="O16" t="s">
        <v>88</v>
      </c>
    </row>
    <row r="17" spans="1:15" x14ac:dyDescent="0.3">
      <c r="A17" t="str">
        <f t="shared" si="0"/>
        <v>YIN</v>
      </c>
      <c r="B17" t="s">
        <v>16</v>
      </c>
      <c r="C17" s="6">
        <v>16</v>
      </c>
      <c r="D17" s="4" t="s">
        <v>17</v>
      </c>
      <c r="E17" s="2">
        <v>2.1999999999999999E-2</v>
      </c>
      <c r="F17" s="2">
        <v>0</v>
      </c>
      <c r="G17" s="2">
        <v>0</v>
      </c>
      <c r="H17" s="1">
        <v>0</v>
      </c>
      <c r="I17" s="1">
        <v>0</v>
      </c>
      <c r="J17" s="1">
        <v>0</v>
      </c>
      <c r="K17" s="1">
        <v>1</v>
      </c>
      <c r="L17" s="1">
        <v>0</v>
      </c>
      <c r="O17" t="s">
        <v>89</v>
      </c>
    </row>
    <row r="18" spans="1:15" x14ac:dyDescent="0.3">
      <c r="A18" t="str">
        <f t="shared" si="0"/>
        <v>KS</v>
      </c>
      <c r="C18" s="6" t="s">
        <v>61</v>
      </c>
      <c r="D18" s="4" t="s">
        <v>51</v>
      </c>
      <c r="E18" s="2">
        <v>0.02</v>
      </c>
      <c r="F18" s="2">
        <v>0</v>
      </c>
      <c r="G18" s="2">
        <v>0</v>
      </c>
      <c r="H18" s="1">
        <v>1</v>
      </c>
      <c r="I18" s="1">
        <v>0</v>
      </c>
      <c r="J18" s="1">
        <v>0</v>
      </c>
      <c r="K18" s="1">
        <v>1</v>
      </c>
      <c r="L18" s="1">
        <v>0</v>
      </c>
      <c r="O18" t="s">
        <v>91</v>
      </c>
    </row>
    <row r="19" spans="1:15" x14ac:dyDescent="0.3">
      <c r="A19" t="str">
        <f t="shared" si="0"/>
        <v>KY</v>
      </c>
      <c r="D19" t="s">
        <v>107</v>
      </c>
      <c r="O19" t="s">
        <v>92</v>
      </c>
    </row>
    <row r="20" spans="1:15" x14ac:dyDescent="0.3">
      <c r="A20" t="str">
        <f t="shared" si="0"/>
        <v>LA</v>
      </c>
      <c r="D20" t="s">
        <v>108</v>
      </c>
    </row>
    <row r="21" spans="1:15" x14ac:dyDescent="0.3">
      <c r="A21" t="str">
        <f t="shared" si="0"/>
        <v>MA</v>
      </c>
      <c r="D21" t="s">
        <v>111</v>
      </c>
    </row>
    <row r="22" spans="1:15" x14ac:dyDescent="0.3">
      <c r="A22" t="str">
        <f t="shared" si="0"/>
        <v>MD</v>
      </c>
      <c r="D22" t="s">
        <v>110</v>
      </c>
    </row>
    <row r="23" spans="1:15" x14ac:dyDescent="0.3">
      <c r="A23" t="str">
        <f t="shared" si="0"/>
        <v>ME</v>
      </c>
      <c r="D23" t="s">
        <v>109</v>
      </c>
    </row>
    <row r="24" spans="1:15" x14ac:dyDescent="0.3">
      <c r="A24" t="str">
        <f t="shared" si="0"/>
        <v>MI</v>
      </c>
      <c r="C24" s="7" t="s">
        <v>67</v>
      </c>
      <c r="D24" s="4" t="s">
        <v>52</v>
      </c>
      <c r="E24" s="2">
        <v>0.02</v>
      </c>
      <c r="F24" s="2">
        <v>0</v>
      </c>
      <c r="G24" s="2">
        <v>0</v>
      </c>
      <c r="H24" s="1">
        <v>1</v>
      </c>
      <c r="I24" s="1">
        <v>0</v>
      </c>
      <c r="J24" s="1">
        <v>0</v>
      </c>
      <c r="K24" s="1">
        <v>1</v>
      </c>
      <c r="L24" s="1">
        <v>0</v>
      </c>
    </row>
    <row r="25" spans="1:15" x14ac:dyDescent="0.3">
      <c r="A25" t="str">
        <f t="shared" si="0"/>
        <v>MN</v>
      </c>
      <c r="D25" t="s">
        <v>112</v>
      </c>
    </row>
    <row r="26" spans="1:15" x14ac:dyDescent="0.3">
      <c r="A26" t="str">
        <f t="shared" si="0"/>
        <v>MO</v>
      </c>
      <c r="D26" t="s">
        <v>114</v>
      </c>
    </row>
    <row r="27" spans="1:15" x14ac:dyDescent="0.3">
      <c r="A27" t="str">
        <f t="shared" si="0"/>
        <v>MS</v>
      </c>
      <c r="D27" t="s">
        <v>113</v>
      </c>
    </row>
    <row r="28" spans="1:15" x14ac:dyDescent="0.3">
      <c r="A28" t="str">
        <f t="shared" si="0"/>
        <v>MT</v>
      </c>
      <c r="C28" s="6" t="s">
        <v>68</v>
      </c>
      <c r="D28" s="4" t="s">
        <v>53</v>
      </c>
      <c r="E28" s="2">
        <v>0.02</v>
      </c>
      <c r="F28" s="2">
        <v>0</v>
      </c>
      <c r="G28" s="2">
        <v>0</v>
      </c>
      <c r="H28" s="1">
        <v>1</v>
      </c>
      <c r="I28" s="1">
        <v>0</v>
      </c>
      <c r="J28" s="1">
        <v>0</v>
      </c>
      <c r="K28" s="1">
        <v>1</v>
      </c>
      <c r="L28" s="1">
        <v>0</v>
      </c>
    </row>
    <row r="29" spans="1:15" x14ac:dyDescent="0.3">
      <c r="A29" t="str">
        <f t="shared" si="0"/>
        <v>NC</v>
      </c>
      <c r="D29" t="s">
        <v>119</v>
      </c>
    </row>
    <row r="30" spans="1:15" x14ac:dyDescent="0.3">
      <c r="A30" t="str">
        <f t="shared" si="0"/>
        <v>ND</v>
      </c>
      <c r="C30" s="6" t="s">
        <v>71</v>
      </c>
      <c r="D30" s="4" t="s">
        <v>56</v>
      </c>
      <c r="E30" s="2">
        <v>0.02</v>
      </c>
      <c r="F30" s="2">
        <v>0</v>
      </c>
      <c r="G30" s="2">
        <v>0.02</v>
      </c>
      <c r="H30" s="1">
        <v>1</v>
      </c>
      <c r="I30" s="3">
        <v>1</v>
      </c>
      <c r="J30" s="1">
        <v>0</v>
      </c>
      <c r="K30" s="1">
        <v>0</v>
      </c>
      <c r="L30" s="1">
        <v>0</v>
      </c>
    </row>
    <row r="31" spans="1:15" x14ac:dyDescent="0.3">
      <c r="A31" t="str">
        <f t="shared" si="0"/>
        <v>NE</v>
      </c>
      <c r="C31" s="6" t="s">
        <v>69</v>
      </c>
      <c r="D31" s="4" t="s">
        <v>54</v>
      </c>
      <c r="E31" s="2">
        <v>0.02</v>
      </c>
      <c r="F31" s="2">
        <v>0.02</v>
      </c>
      <c r="G31" s="2">
        <v>0</v>
      </c>
      <c r="H31" s="1">
        <v>1</v>
      </c>
      <c r="I31" s="1">
        <v>0</v>
      </c>
      <c r="J31" s="1">
        <v>0</v>
      </c>
      <c r="K31" s="1">
        <v>0</v>
      </c>
      <c r="L31" s="1">
        <v>0</v>
      </c>
    </row>
    <row r="32" spans="1:15" x14ac:dyDescent="0.3">
      <c r="A32" t="str">
        <f t="shared" si="0"/>
        <v>NH</v>
      </c>
      <c r="D32" t="s">
        <v>116</v>
      </c>
    </row>
    <row r="33" spans="1:12" x14ac:dyDescent="0.3">
      <c r="A33" t="str">
        <f t="shared" si="0"/>
        <v>NJ</v>
      </c>
      <c r="D33" t="s">
        <v>117</v>
      </c>
    </row>
    <row r="34" spans="1:12" x14ac:dyDescent="0.3">
      <c r="A34" t="str">
        <f t="shared" si="0"/>
        <v>NM</v>
      </c>
      <c r="C34" s="6" t="s">
        <v>70</v>
      </c>
      <c r="D34" s="4" t="s">
        <v>55</v>
      </c>
      <c r="E34" s="2">
        <v>0.02</v>
      </c>
      <c r="F34" s="2">
        <v>0.02</v>
      </c>
      <c r="G34" s="2">
        <v>0</v>
      </c>
      <c r="H34" s="1">
        <v>1</v>
      </c>
      <c r="I34" s="1">
        <v>0</v>
      </c>
      <c r="J34" s="1">
        <v>1</v>
      </c>
      <c r="K34" s="1">
        <v>0</v>
      </c>
      <c r="L34" s="1">
        <v>1</v>
      </c>
    </row>
    <row r="35" spans="1:12" x14ac:dyDescent="0.3">
      <c r="A35" t="str">
        <f t="shared" si="0"/>
        <v>NV</v>
      </c>
      <c r="D35" t="s">
        <v>115</v>
      </c>
    </row>
    <row r="36" spans="1:12" x14ac:dyDescent="0.3">
      <c r="A36" t="str">
        <f t="shared" si="0"/>
        <v>NY</v>
      </c>
      <c r="D36" t="s">
        <v>118</v>
      </c>
    </row>
    <row r="37" spans="1:12" x14ac:dyDescent="0.3">
      <c r="A37" t="str">
        <f t="shared" si="0"/>
        <v>OH</v>
      </c>
      <c r="C37" s="6" t="s">
        <v>134</v>
      </c>
      <c r="D37" s="4" t="s">
        <v>19</v>
      </c>
      <c r="E37" s="2">
        <v>0.02</v>
      </c>
      <c r="F37" s="2">
        <v>0.02</v>
      </c>
      <c r="G37" s="2">
        <v>0</v>
      </c>
      <c r="H37" s="1">
        <v>1</v>
      </c>
      <c r="I37" s="1">
        <v>0</v>
      </c>
      <c r="J37" s="1">
        <v>0</v>
      </c>
      <c r="K37" s="1">
        <v>1</v>
      </c>
      <c r="L37" s="1">
        <v>0</v>
      </c>
    </row>
    <row r="38" spans="1:12" x14ac:dyDescent="0.3">
      <c r="A38" t="str">
        <f t="shared" si="0"/>
        <v>OK</v>
      </c>
      <c r="D38" t="s">
        <v>120</v>
      </c>
    </row>
    <row r="39" spans="1:12" x14ac:dyDescent="0.3">
      <c r="A39" t="str">
        <f t="shared" si="0"/>
        <v>OR</v>
      </c>
      <c r="D39" t="s">
        <v>121</v>
      </c>
    </row>
    <row r="40" spans="1:12" x14ac:dyDescent="0.3">
      <c r="A40" t="str">
        <f t="shared" si="0"/>
        <v>PA</v>
      </c>
      <c r="C40" s="6" t="s">
        <v>133</v>
      </c>
      <c r="D40" s="4" t="s">
        <v>20</v>
      </c>
      <c r="E40" s="2">
        <v>0.02</v>
      </c>
      <c r="F40" s="2">
        <v>0.02</v>
      </c>
      <c r="G40" s="2">
        <v>0</v>
      </c>
      <c r="H40" s="1">
        <v>1</v>
      </c>
      <c r="I40" s="1">
        <v>0</v>
      </c>
      <c r="J40" s="1">
        <v>0</v>
      </c>
      <c r="K40" s="1">
        <v>1</v>
      </c>
      <c r="L40" s="1">
        <v>0</v>
      </c>
    </row>
    <row r="41" spans="1:12" x14ac:dyDescent="0.3">
      <c r="A41" t="str">
        <f t="shared" si="0"/>
        <v>RI</v>
      </c>
      <c r="D41" t="s">
        <v>122</v>
      </c>
    </row>
    <row r="42" spans="1:12" x14ac:dyDescent="0.3">
      <c r="A42" t="str">
        <f t="shared" si="0"/>
        <v>SC</v>
      </c>
      <c r="D42" t="s">
        <v>123</v>
      </c>
    </row>
    <row r="43" spans="1:12" x14ac:dyDescent="0.3">
      <c r="A43" t="str">
        <f t="shared" si="0"/>
        <v>SD</v>
      </c>
      <c r="D43" t="s">
        <v>124</v>
      </c>
    </row>
    <row r="44" spans="1:12" x14ac:dyDescent="0.3">
      <c r="A44" t="str">
        <f t="shared" si="0"/>
        <v>TN</v>
      </c>
      <c r="D44" t="s">
        <v>125</v>
      </c>
    </row>
    <row r="45" spans="1:12" x14ac:dyDescent="0.3">
      <c r="A45" t="str">
        <f t="shared" si="0"/>
        <v>TX</v>
      </c>
      <c r="C45" s="6" t="s">
        <v>72</v>
      </c>
      <c r="D45" s="4" t="s">
        <v>57</v>
      </c>
      <c r="E45" s="2">
        <v>0.02</v>
      </c>
      <c r="F45" s="2">
        <v>0</v>
      </c>
      <c r="G45" s="2">
        <v>0.02</v>
      </c>
      <c r="H45" s="1">
        <v>1</v>
      </c>
      <c r="I45" s="1">
        <v>0</v>
      </c>
      <c r="J45" s="1">
        <v>0</v>
      </c>
      <c r="K45" s="1">
        <v>1</v>
      </c>
      <c r="L45" s="1">
        <v>0</v>
      </c>
    </row>
    <row r="46" spans="1:12" x14ac:dyDescent="0.3">
      <c r="A46" t="str">
        <f t="shared" si="0"/>
        <v>UT</v>
      </c>
      <c r="D46" t="s">
        <v>126</v>
      </c>
    </row>
    <row r="47" spans="1:12" x14ac:dyDescent="0.3">
      <c r="A47" t="str">
        <f t="shared" si="0"/>
        <v>VA</v>
      </c>
      <c r="D47" t="s">
        <v>128</v>
      </c>
    </row>
    <row r="48" spans="1:12" x14ac:dyDescent="0.3">
      <c r="A48" t="str">
        <f t="shared" si="0"/>
        <v>VT</v>
      </c>
      <c r="D48" t="s">
        <v>127</v>
      </c>
    </row>
    <row r="49" spans="1:15" x14ac:dyDescent="0.3">
      <c r="A49" t="str">
        <f t="shared" si="0"/>
        <v>WA</v>
      </c>
      <c r="D49" t="s">
        <v>129</v>
      </c>
    </row>
    <row r="50" spans="1:15" x14ac:dyDescent="0.3">
      <c r="A50" t="str">
        <f t="shared" si="0"/>
        <v>WI</v>
      </c>
      <c r="C50" s="6">
        <v>92</v>
      </c>
      <c r="D50" s="4" t="s">
        <v>59</v>
      </c>
      <c r="E50" s="2">
        <v>0.02</v>
      </c>
      <c r="F50" s="2">
        <v>0</v>
      </c>
      <c r="G50" s="2">
        <v>0</v>
      </c>
      <c r="H50" s="1">
        <v>1</v>
      </c>
      <c r="I50" s="1">
        <v>1</v>
      </c>
      <c r="J50" s="1">
        <v>0</v>
      </c>
      <c r="K50" s="1">
        <v>1</v>
      </c>
      <c r="L50" s="1">
        <v>0</v>
      </c>
    </row>
    <row r="51" spans="1:15" x14ac:dyDescent="0.3">
      <c r="A51" t="str">
        <f t="shared" si="0"/>
        <v>WV</v>
      </c>
      <c r="C51" s="6" t="s">
        <v>73</v>
      </c>
      <c r="D51" s="4" t="s">
        <v>58</v>
      </c>
      <c r="E51" s="2">
        <v>0.02</v>
      </c>
      <c r="F51" s="2">
        <v>0.02</v>
      </c>
      <c r="G51" s="2">
        <v>0</v>
      </c>
      <c r="H51" s="1">
        <v>1</v>
      </c>
      <c r="I51" s="1">
        <v>1</v>
      </c>
      <c r="J51" s="1">
        <v>1</v>
      </c>
      <c r="K51" s="1">
        <v>1</v>
      </c>
      <c r="L51" s="1">
        <v>0</v>
      </c>
    </row>
    <row r="52" spans="1:15" x14ac:dyDescent="0.3">
      <c r="A52" t="str">
        <f t="shared" si="0"/>
        <v>WY</v>
      </c>
      <c r="C52" s="6" t="s">
        <v>66</v>
      </c>
      <c r="D52" s="4" t="s">
        <v>21</v>
      </c>
      <c r="E52" s="2">
        <v>0.02</v>
      </c>
      <c r="F52" s="2">
        <v>0</v>
      </c>
      <c r="G52" s="2">
        <v>0.02</v>
      </c>
      <c r="H52" s="1">
        <v>1</v>
      </c>
      <c r="I52" s="1">
        <v>0</v>
      </c>
      <c r="J52" s="1">
        <v>0</v>
      </c>
      <c r="K52" s="1">
        <v>1</v>
      </c>
      <c r="L52" s="1">
        <v>0</v>
      </c>
    </row>
    <row r="53" spans="1:15" x14ac:dyDescent="0.3">
      <c r="A53" t="str">
        <f>B53&amp;D53</f>
        <v>NIN</v>
      </c>
      <c r="B53" t="s">
        <v>18</v>
      </c>
      <c r="C53" s="6">
        <v>16</v>
      </c>
      <c r="D53" s="4" t="s">
        <v>17</v>
      </c>
      <c r="E53" s="2">
        <f>3.2%*1.01</f>
        <v>3.2320000000000002E-2</v>
      </c>
      <c r="F53" s="2">
        <v>0</v>
      </c>
      <c r="G53" s="2">
        <v>0</v>
      </c>
      <c r="H53" s="1">
        <v>0</v>
      </c>
      <c r="I53" s="1">
        <v>0</v>
      </c>
      <c r="J53" s="1">
        <v>0</v>
      </c>
      <c r="K53" s="1">
        <v>1</v>
      </c>
      <c r="L53" s="1">
        <v>0</v>
      </c>
      <c r="O53" t="s">
        <v>90</v>
      </c>
    </row>
  </sheetData>
  <autoFilter ref="A1:T53" xr:uid="{E5FF9BA3-5DFA-4E44-A62D-1752089596F2}"/>
  <sortState xmlns:xlrd2="http://schemas.microsoft.com/office/spreadsheetml/2017/richdata2" ref="A2:M52">
    <sortCondition ref="D2:D52"/>
  </sortState>
  <conditionalFormatting sqref="D2:D53">
    <cfRule type="duplicateValues" dxfId="1" priority="1"/>
    <cfRule type="duplicateValues" dxfId="0" priority="1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Procedures</vt:lpstr>
      <vt:lpstr>Summary</vt:lpstr>
      <vt:lpstr>Lookup</vt:lpstr>
      <vt:lpstr>Procedures!Print_Area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Shenandoah, Justin</dc:creator>
  <cp:lastModifiedBy>Sara Kreiss</cp:lastModifiedBy>
  <cp:lastPrinted>2023-03-08T21:31:13Z</cp:lastPrinted>
  <dcterms:created xsi:type="dcterms:W3CDTF">2022-04-15T21:16:20Z</dcterms:created>
  <dcterms:modified xsi:type="dcterms:W3CDTF">2023-03-08T22:05:32Z</dcterms:modified>
</cp:coreProperties>
</file>